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OLETA DIAZ\Desktop\VIOLETA\"/>
    </mc:Choice>
  </mc:AlternateContent>
  <bookViews>
    <workbookView xWindow="0" yWindow="0" windowWidth="28800" windowHeight="12435"/>
  </bookViews>
  <sheets>
    <sheet name="Hoja1" sheetId="1" r:id="rId1"/>
    <sheet name="Hoja2" sheetId="2" r:id="rId2"/>
  </sheets>
  <definedNames>
    <definedName name="_xlnm._FilterDatabase" localSheetId="0" hidden="1">Hoja1!$A$10:$P$97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H11" i="1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F33" i="1"/>
  <c r="M32" i="1" l="1"/>
  <c r="F61" i="1"/>
  <c r="G52" i="1"/>
  <c r="N24" i="1"/>
  <c r="M24" i="1"/>
  <c r="J24" i="1"/>
  <c r="H24" i="1"/>
  <c r="G24" i="1"/>
  <c r="F24" i="1"/>
  <c r="N38" i="1" l="1"/>
  <c r="N88" i="1" l="1"/>
  <c r="N89" i="1"/>
  <c r="M88" i="1"/>
  <c r="M89" i="1"/>
  <c r="H88" i="1"/>
  <c r="H89" i="1"/>
  <c r="G88" i="1"/>
  <c r="G89" i="1"/>
  <c r="F88" i="1"/>
  <c r="F89" i="1"/>
  <c r="N32" i="1"/>
  <c r="H32" i="1"/>
  <c r="G32" i="1"/>
  <c r="F32" i="1"/>
  <c r="N77" i="1"/>
  <c r="M77" i="1"/>
  <c r="F77" i="1"/>
  <c r="N20" i="1"/>
  <c r="M20" i="1"/>
  <c r="F20" i="1"/>
  <c r="N95" i="1"/>
  <c r="M95" i="1"/>
  <c r="F95" i="1"/>
  <c r="N74" i="1"/>
  <c r="M74" i="1"/>
  <c r="F74" i="1"/>
  <c r="N65" i="1"/>
  <c r="M65" i="1"/>
  <c r="F65" i="1"/>
  <c r="F59" i="1"/>
  <c r="N55" i="1"/>
  <c r="M55" i="1"/>
  <c r="F55" i="1"/>
  <c r="N51" i="1"/>
  <c r="M51" i="1"/>
  <c r="F51" i="1"/>
  <c r="N50" i="1"/>
  <c r="M50" i="1"/>
  <c r="J50" i="1"/>
  <c r="H50" i="1"/>
  <c r="G50" i="1"/>
  <c r="F50" i="1"/>
  <c r="N47" i="1"/>
  <c r="M47" i="1"/>
  <c r="F47" i="1"/>
  <c r="N44" i="1"/>
  <c r="M44" i="1"/>
  <c r="F44" i="1"/>
  <c r="N15" i="1"/>
  <c r="M15" i="1"/>
  <c r="F15" i="1"/>
  <c r="N16" i="1"/>
  <c r="M16" i="1"/>
  <c r="F16" i="1"/>
  <c r="N17" i="1"/>
  <c r="M17" i="1"/>
  <c r="F17" i="1"/>
  <c r="M18" i="1"/>
  <c r="N18" i="1"/>
  <c r="N81" i="1"/>
  <c r="M81" i="1"/>
  <c r="F81" i="1"/>
  <c r="N73" i="1"/>
  <c r="M73" i="1"/>
  <c r="F73" i="1"/>
  <c r="N71" i="1"/>
  <c r="M71" i="1"/>
  <c r="F71" i="1"/>
  <c r="N62" i="1"/>
  <c r="M62" i="1"/>
  <c r="F62" i="1"/>
  <c r="N53" i="1"/>
  <c r="M53" i="1"/>
  <c r="F53" i="1"/>
  <c r="N39" i="1"/>
  <c r="F31" i="1"/>
  <c r="N25" i="1"/>
  <c r="M25" i="1"/>
  <c r="F25" i="1"/>
  <c r="N19" i="1"/>
  <c r="M19" i="1"/>
  <c r="F19" i="1"/>
  <c r="N64" i="1"/>
  <c r="M64" i="1"/>
  <c r="F64" i="1"/>
  <c r="N54" i="1"/>
  <c r="M54" i="1"/>
  <c r="F54" i="1"/>
  <c r="N13" i="1"/>
  <c r="M13" i="1"/>
  <c r="F13" i="1"/>
  <c r="N83" i="1"/>
  <c r="M83" i="1"/>
  <c r="F83" i="1"/>
  <c r="N45" i="1"/>
  <c r="M45" i="1"/>
  <c r="F45" i="1"/>
  <c r="N23" i="1"/>
  <c r="F23" i="1"/>
  <c r="N61" i="1"/>
  <c r="M61" i="1"/>
  <c r="J61" i="1"/>
  <c r="H61" i="1"/>
  <c r="G61" i="1"/>
  <c r="N56" i="1"/>
  <c r="M56" i="1"/>
  <c r="F56" i="1"/>
  <c r="N46" i="1"/>
  <c r="M46" i="1"/>
  <c r="F46" i="1"/>
  <c r="N41" i="1"/>
  <c r="M41" i="1"/>
  <c r="F41" i="1"/>
  <c r="N28" i="1"/>
  <c r="M28" i="1"/>
  <c r="F28" i="1"/>
  <c r="N87" i="1"/>
  <c r="M87" i="1"/>
  <c r="F87" i="1"/>
  <c r="N72" i="1"/>
  <c r="M72" i="1"/>
  <c r="F72" i="1"/>
  <c r="N48" i="1"/>
  <c r="M48" i="1"/>
  <c r="F48" i="1"/>
  <c r="N37" i="1"/>
  <c r="M37" i="1"/>
  <c r="F37" i="1"/>
  <c r="N26" i="1"/>
  <c r="M26" i="1"/>
  <c r="F26" i="1"/>
  <c r="N91" i="1"/>
  <c r="M91" i="1"/>
  <c r="H91" i="1"/>
  <c r="G91" i="1"/>
  <c r="F91" i="1"/>
  <c r="N70" i="1"/>
  <c r="M70" i="1"/>
  <c r="J70" i="1"/>
  <c r="H70" i="1"/>
  <c r="G70" i="1"/>
  <c r="F70" i="1"/>
  <c r="N66" i="1"/>
  <c r="M66" i="1"/>
  <c r="J66" i="1"/>
  <c r="H66" i="1"/>
  <c r="G66" i="1"/>
  <c r="F66" i="1"/>
  <c r="N40" i="1"/>
  <c r="M40" i="1"/>
  <c r="F40" i="1"/>
  <c r="N34" i="1"/>
  <c r="M34" i="1"/>
  <c r="F34" i="1"/>
  <c r="N27" i="1"/>
  <c r="M27" i="1"/>
  <c r="F27" i="1"/>
  <c r="N82" i="1"/>
  <c r="M82" i="1"/>
  <c r="F82" i="1"/>
  <c r="H69" i="1"/>
  <c r="G69" i="1"/>
  <c r="M38" i="1"/>
  <c r="F38" i="1"/>
  <c r="G19" i="1" l="1"/>
  <c r="G23" i="1"/>
  <c r="G85" i="1"/>
  <c r="J77" i="1" l="1"/>
  <c r="H77" i="1"/>
  <c r="G77" i="1"/>
  <c r="J20" i="1"/>
  <c r="H20" i="1"/>
  <c r="G20" i="1"/>
  <c r="J18" i="1"/>
  <c r="H18" i="1"/>
  <c r="G18" i="1"/>
  <c r="F18" i="1"/>
  <c r="J95" i="1"/>
  <c r="H95" i="1"/>
  <c r="G95" i="1"/>
  <c r="N94" i="1"/>
  <c r="M94" i="1"/>
  <c r="J94" i="1"/>
  <c r="H94" i="1"/>
  <c r="G94" i="1"/>
  <c r="F94" i="1"/>
  <c r="N93" i="1"/>
  <c r="M93" i="1"/>
  <c r="J93" i="1"/>
  <c r="H93" i="1"/>
  <c r="G93" i="1"/>
  <c r="F93" i="1"/>
  <c r="N90" i="1"/>
  <c r="M90" i="1"/>
  <c r="J90" i="1"/>
  <c r="H90" i="1"/>
  <c r="G90" i="1"/>
  <c r="F90" i="1"/>
  <c r="N33" i="1"/>
  <c r="M33" i="1"/>
  <c r="J33" i="1"/>
  <c r="H33" i="1"/>
  <c r="G33" i="1"/>
  <c r="N86" i="1"/>
  <c r="M86" i="1"/>
  <c r="J86" i="1"/>
  <c r="H86" i="1"/>
  <c r="G86" i="1"/>
  <c r="F86" i="1"/>
  <c r="N79" i="1"/>
  <c r="M79" i="1"/>
  <c r="J79" i="1"/>
  <c r="H79" i="1"/>
  <c r="G79" i="1"/>
  <c r="F79" i="1"/>
  <c r="J74" i="1"/>
  <c r="H74" i="1"/>
  <c r="G74" i="1"/>
  <c r="N76" i="1"/>
  <c r="M76" i="1"/>
  <c r="H76" i="1"/>
  <c r="G76" i="1"/>
  <c r="F76" i="1"/>
  <c r="N68" i="1"/>
  <c r="M68" i="1"/>
  <c r="J68" i="1"/>
  <c r="H68" i="1"/>
  <c r="G68" i="1"/>
  <c r="F68" i="1"/>
  <c r="J65" i="1"/>
  <c r="H65" i="1"/>
  <c r="G65" i="1"/>
  <c r="N59" i="1"/>
  <c r="M59" i="1"/>
  <c r="J59" i="1"/>
  <c r="H59" i="1"/>
  <c r="G59" i="1"/>
  <c r="N57" i="1"/>
  <c r="M57" i="1"/>
  <c r="J57" i="1"/>
  <c r="H57" i="1"/>
  <c r="G57" i="1"/>
  <c r="F57" i="1"/>
  <c r="H55" i="1"/>
  <c r="G55" i="1"/>
  <c r="J51" i="1"/>
  <c r="H51" i="1"/>
  <c r="G51" i="1"/>
  <c r="N49" i="1"/>
  <c r="M49" i="1"/>
  <c r="J49" i="1"/>
  <c r="H49" i="1"/>
  <c r="G49" i="1"/>
  <c r="F49" i="1"/>
  <c r="H47" i="1"/>
  <c r="G47" i="1"/>
  <c r="J44" i="1"/>
  <c r="H44" i="1"/>
  <c r="G44" i="1"/>
  <c r="N35" i="1"/>
  <c r="M35" i="1"/>
  <c r="J35" i="1"/>
  <c r="H35" i="1"/>
  <c r="G35" i="1"/>
  <c r="F35" i="1"/>
  <c r="J15" i="1"/>
  <c r="H15" i="1"/>
  <c r="G15" i="1"/>
  <c r="J16" i="1"/>
  <c r="H16" i="1"/>
  <c r="G16" i="1"/>
  <c r="J17" i="1"/>
  <c r="H17" i="1"/>
  <c r="G17" i="1"/>
  <c r="J81" i="1"/>
  <c r="H81" i="1"/>
  <c r="G81" i="1"/>
  <c r="N80" i="1"/>
  <c r="M80" i="1"/>
  <c r="J80" i="1"/>
  <c r="H80" i="1"/>
  <c r="G80" i="1"/>
  <c r="F80" i="1"/>
  <c r="N78" i="1"/>
  <c r="M78" i="1"/>
  <c r="J78" i="1"/>
  <c r="H78" i="1"/>
  <c r="G78" i="1"/>
  <c r="F78" i="1"/>
  <c r="N75" i="1"/>
  <c r="M75" i="1"/>
  <c r="J75" i="1"/>
  <c r="H75" i="1"/>
  <c r="G75" i="1"/>
  <c r="F75" i="1"/>
  <c r="J73" i="1"/>
  <c r="H73" i="1"/>
  <c r="G73" i="1"/>
  <c r="J71" i="1"/>
  <c r="H71" i="1"/>
  <c r="G71" i="1"/>
  <c r="H63" i="1"/>
  <c r="N63" i="1"/>
  <c r="M63" i="1"/>
  <c r="J63" i="1"/>
  <c r="G63" i="1"/>
  <c r="F63" i="1"/>
  <c r="N58" i="1"/>
  <c r="M58" i="1"/>
  <c r="J58" i="1"/>
  <c r="H58" i="1"/>
  <c r="G58" i="1"/>
  <c r="F58" i="1"/>
  <c r="J62" i="1"/>
  <c r="H62" i="1"/>
  <c r="G62" i="1"/>
  <c r="J53" i="1"/>
  <c r="H53" i="1"/>
  <c r="G53" i="1"/>
  <c r="M39" i="1"/>
  <c r="J39" i="1"/>
  <c r="H39" i="1"/>
  <c r="G39" i="1"/>
  <c r="F39" i="1"/>
  <c r="N42" i="1"/>
  <c r="M42" i="1"/>
  <c r="J42" i="1"/>
  <c r="H42" i="1"/>
  <c r="G42" i="1"/>
  <c r="F42" i="1"/>
  <c r="N31" i="1"/>
  <c r="M31" i="1"/>
  <c r="J31" i="1"/>
  <c r="H31" i="1"/>
  <c r="G31" i="1"/>
  <c r="J25" i="1"/>
  <c r="H25" i="1"/>
  <c r="G25" i="1"/>
  <c r="N14" i="1"/>
  <c r="M14" i="1"/>
  <c r="J14" i="1"/>
  <c r="H14" i="1"/>
  <c r="G14" i="1"/>
  <c r="F14" i="1"/>
  <c r="N22" i="1"/>
  <c r="M22" i="1"/>
  <c r="J22" i="1"/>
  <c r="H22" i="1"/>
  <c r="G22" i="1"/>
  <c r="F22" i="1"/>
  <c r="H19" i="1"/>
  <c r="J64" i="1"/>
  <c r="H64" i="1"/>
  <c r="G64" i="1"/>
  <c r="J54" i="1"/>
  <c r="H54" i="1"/>
  <c r="G54" i="1"/>
  <c r="N43" i="1"/>
  <c r="M43" i="1"/>
  <c r="J43" i="1"/>
  <c r="H43" i="1"/>
  <c r="G43" i="1"/>
  <c r="F43" i="1"/>
  <c r="N36" i="1"/>
  <c r="M36" i="1"/>
  <c r="J36" i="1"/>
  <c r="H36" i="1"/>
  <c r="G36" i="1"/>
  <c r="F36" i="1"/>
  <c r="H13" i="1"/>
  <c r="G13" i="1"/>
  <c r="N12" i="1"/>
  <c r="M12" i="1"/>
  <c r="H12" i="1"/>
  <c r="G12" i="1"/>
  <c r="F12" i="1"/>
  <c r="N92" i="1"/>
  <c r="M92" i="1"/>
  <c r="J92" i="1"/>
  <c r="H92" i="1"/>
  <c r="G92" i="1"/>
  <c r="F92" i="1"/>
  <c r="J83" i="1"/>
  <c r="H83" i="1"/>
  <c r="G83" i="1"/>
  <c r="N60" i="1"/>
  <c r="M60" i="1"/>
  <c r="J60" i="1"/>
  <c r="H60" i="1"/>
  <c r="G60" i="1"/>
  <c r="F60" i="1"/>
  <c r="J45" i="1"/>
  <c r="H45" i="1"/>
  <c r="G45" i="1"/>
  <c r="H23" i="1"/>
  <c r="N21" i="1" l="1"/>
  <c r="M21" i="1"/>
  <c r="J21" i="1"/>
  <c r="H21" i="1"/>
  <c r="G21" i="1"/>
  <c r="F21" i="1"/>
  <c r="N67" i="1"/>
  <c r="M67" i="1"/>
  <c r="J67" i="1"/>
  <c r="H67" i="1"/>
  <c r="G67" i="1"/>
  <c r="F67" i="1"/>
  <c r="N52" i="1"/>
  <c r="M52" i="1"/>
  <c r="H52" i="1"/>
  <c r="F52" i="1"/>
  <c r="H56" i="1"/>
  <c r="G56" i="1"/>
  <c r="H46" i="1"/>
  <c r="G46" i="1"/>
  <c r="J41" i="1"/>
  <c r="H41" i="1"/>
  <c r="G41" i="1"/>
  <c r="J28" i="1"/>
  <c r="H28" i="1"/>
  <c r="G28" i="1"/>
  <c r="N96" i="1"/>
  <c r="M96" i="1"/>
  <c r="J96" i="1"/>
  <c r="H96" i="1"/>
  <c r="G96" i="1"/>
  <c r="F96" i="1"/>
  <c r="J87" i="1"/>
  <c r="H87" i="1"/>
  <c r="G87" i="1"/>
  <c r="N85" i="1"/>
  <c r="M85" i="1"/>
  <c r="H85" i="1"/>
  <c r="F85" i="1"/>
  <c r="N84" i="1"/>
  <c r="M84" i="1"/>
  <c r="J84" i="1"/>
  <c r="H84" i="1"/>
  <c r="G84" i="1"/>
  <c r="F84" i="1"/>
  <c r="J72" i="1" l="1"/>
  <c r="H72" i="1"/>
  <c r="G72" i="1"/>
  <c r="J48" i="1"/>
  <c r="H48" i="1"/>
  <c r="G48" i="1"/>
  <c r="J37" i="1"/>
  <c r="H37" i="1"/>
  <c r="G37" i="1"/>
  <c r="J26" i="1" l="1"/>
  <c r="H26" i="1"/>
  <c r="G26" i="1"/>
  <c r="H40" i="1"/>
  <c r="G40" i="1"/>
  <c r="H34" i="1"/>
  <c r="G34" i="1"/>
  <c r="G27" i="1"/>
  <c r="J27" i="1"/>
  <c r="H27" i="1"/>
  <c r="N30" i="1"/>
  <c r="M30" i="1"/>
  <c r="J30" i="1"/>
  <c r="H30" i="1"/>
  <c r="G30" i="1"/>
  <c r="F30" i="1"/>
  <c r="J82" i="1"/>
  <c r="H82" i="1"/>
  <c r="G82" i="1"/>
  <c r="J38" i="1" l="1"/>
  <c r="H38" i="1"/>
  <c r="G38" i="1"/>
  <c r="N69" i="1"/>
  <c r="M69" i="1"/>
  <c r="J69" i="1"/>
  <c r="F69" i="1"/>
  <c r="N29" i="1"/>
  <c r="M29" i="1"/>
  <c r="J29" i="1"/>
  <c r="H29" i="1"/>
  <c r="G29" i="1"/>
  <c r="F29" i="1"/>
  <c r="N11" i="1"/>
  <c r="M11" i="1"/>
  <c r="J11" i="1"/>
  <c r="G11" i="1"/>
  <c r="F11" i="1"/>
  <c r="I116" i="2" l="1"/>
  <c r="I114" i="2"/>
  <c r="E112" i="2"/>
  <c r="H108" i="2"/>
  <c r="D107" i="2"/>
  <c r="G101" i="2"/>
  <c r="F101" i="2"/>
  <c r="E101" i="2"/>
  <c r="G100" i="2"/>
  <c r="F100" i="2"/>
  <c r="E100" i="2"/>
  <c r="G99" i="2"/>
  <c r="F99" i="2"/>
  <c r="E99" i="2"/>
  <c r="G98" i="2"/>
  <c r="F98" i="2"/>
  <c r="E98" i="2"/>
  <c r="G97" i="2"/>
  <c r="F97" i="2"/>
  <c r="E97" i="2"/>
  <c r="G96" i="2"/>
  <c r="F96" i="2"/>
  <c r="E96" i="2"/>
  <c r="G95" i="2"/>
  <c r="F95" i="2"/>
  <c r="E95" i="2"/>
  <c r="G94" i="2"/>
  <c r="F94" i="2"/>
  <c r="E94" i="2"/>
  <c r="G93" i="2"/>
  <c r="F93" i="2"/>
  <c r="E93" i="2"/>
  <c r="G92" i="2"/>
  <c r="F92" i="2"/>
  <c r="E92" i="2"/>
  <c r="G91" i="2"/>
  <c r="F91" i="2"/>
  <c r="E91" i="2"/>
  <c r="G90" i="2"/>
  <c r="F90" i="2"/>
  <c r="E90" i="2"/>
  <c r="G89" i="2"/>
  <c r="F89" i="2"/>
  <c r="E89" i="2"/>
  <c r="G88" i="2"/>
  <c r="F88" i="2"/>
  <c r="E88" i="2"/>
  <c r="G87" i="2"/>
  <c r="F87" i="2"/>
  <c r="E87" i="2"/>
  <c r="G86" i="2"/>
  <c r="F86" i="2"/>
  <c r="E86" i="2"/>
  <c r="G85" i="2"/>
  <c r="F85" i="2"/>
  <c r="E85" i="2"/>
  <c r="G84" i="2"/>
  <c r="F84" i="2"/>
  <c r="E84" i="2"/>
  <c r="G83" i="2"/>
  <c r="F83" i="2"/>
  <c r="E83" i="2"/>
  <c r="G82" i="2"/>
  <c r="F82" i="2"/>
  <c r="E82" i="2"/>
  <c r="G81" i="2"/>
  <c r="F81" i="2"/>
  <c r="E81" i="2"/>
  <c r="G80" i="2"/>
  <c r="F80" i="2"/>
  <c r="E80" i="2"/>
  <c r="G79" i="2"/>
  <c r="F79" i="2"/>
  <c r="E79" i="2"/>
  <c r="G78" i="2"/>
  <c r="F78" i="2"/>
  <c r="E78" i="2"/>
  <c r="G77" i="2"/>
  <c r="F77" i="2"/>
  <c r="E77" i="2"/>
  <c r="G76" i="2"/>
  <c r="F76" i="2"/>
  <c r="E76" i="2"/>
  <c r="G75" i="2"/>
  <c r="F75" i="2"/>
  <c r="E75" i="2"/>
  <c r="G74" i="2"/>
  <c r="F74" i="2"/>
  <c r="E74" i="2"/>
  <c r="G73" i="2"/>
  <c r="F73" i="2"/>
  <c r="E73" i="2"/>
  <c r="G72" i="2"/>
  <c r="F72" i="2"/>
  <c r="E72" i="2"/>
  <c r="G71" i="2"/>
  <c r="F71" i="2"/>
  <c r="E71" i="2"/>
  <c r="G70" i="2"/>
  <c r="F70" i="2"/>
  <c r="E70" i="2"/>
  <c r="G69" i="2"/>
  <c r="F69" i="2"/>
  <c r="E69" i="2"/>
  <c r="G68" i="2"/>
  <c r="F68" i="2"/>
  <c r="E68" i="2"/>
  <c r="G67" i="2"/>
  <c r="F67" i="2"/>
  <c r="E67" i="2"/>
  <c r="G66" i="2"/>
  <c r="F66" i="2"/>
  <c r="E66" i="2"/>
  <c r="G65" i="2"/>
  <c r="F65" i="2"/>
  <c r="E65" i="2"/>
  <c r="G64" i="2"/>
  <c r="F64" i="2"/>
  <c r="E64" i="2"/>
  <c r="G63" i="2"/>
  <c r="F63" i="2"/>
  <c r="E63" i="2"/>
  <c r="G62" i="2"/>
  <c r="F62" i="2"/>
  <c r="E62" i="2"/>
  <c r="G61" i="2"/>
  <c r="F61" i="2"/>
  <c r="E61" i="2"/>
  <c r="G60" i="2"/>
  <c r="F60" i="2"/>
  <c r="E60" i="2"/>
  <c r="G59" i="2"/>
  <c r="F59" i="2"/>
  <c r="E59" i="2"/>
  <c r="G58" i="2"/>
  <c r="F58" i="2"/>
  <c r="E58" i="2"/>
  <c r="G57" i="2"/>
  <c r="F57" i="2"/>
  <c r="E57" i="2"/>
  <c r="G56" i="2"/>
  <c r="F56" i="2"/>
  <c r="E56" i="2"/>
  <c r="G55" i="2"/>
  <c r="F55" i="2"/>
  <c r="E55" i="2"/>
  <c r="G54" i="2"/>
  <c r="F54" i="2"/>
  <c r="E54" i="2"/>
  <c r="G53" i="2"/>
  <c r="F53" i="2"/>
  <c r="E53" i="2"/>
  <c r="G52" i="2"/>
  <c r="F52" i="2"/>
  <c r="E52" i="2"/>
  <c r="G51" i="2"/>
  <c r="F51" i="2"/>
  <c r="E51" i="2"/>
  <c r="G50" i="2"/>
  <c r="F50" i="2"/>
  <c r="E50" i="2"/>
  <c r="G49" i="2"/>
  <c r="F49" i="2"/>
  <c r="E49" i="2"/>
  <c r="G48" i="2"/>
  <c r="F48" i="2"/>
  <c r="E48" i="2"/>
  <c r="G47" i="2"/>
  <c r="F47" i="2"/>
  <c r="E47" i="2"/>
  <c r="G46" i="2"/>
  <c r="F46" i="2"/>
  <c r="E46" i="2"/>
  <c r="G45" i="2"/>
  <c r="F45" i="2"/>
  <c r="E45" i="2"/>
  <c r="G44" i="2"/>
  <c r="F44" i="2"/>
  <c r="E44" i="2"/>
  <c r="G43" i="2"/>
  <c r="F43" i="2"/>
  <c r="E43" i="2"/>
  <c r="G42" i="2"/>
  <c r="F42" i="2"/>
  <c r="E42" i="2"/>
  <c r="G41" i="2"/>
  <c r="F41" i="2"/>
  <c r="E41" i="2"/>
  <c r="G40" i="2"/>
  <c r="F40" i="2"/>
  <c r="E40" i="2"/>
  <c r="G39" i="2"/>
  <c r="F39" i="2"/>
  <c r="E39" i="2"/>
  <c r="G38" i="2"/>
  <c r="F38" i="2"/>
  <c r="E38" i="2"/>
  <c r="G37" i="2"/>
  <c r="F37" i="2"/>
  <c r="E37" i="2"/>
  <c r="G36" i="2"/>
  <c r="F36" i="2"/>
  <c r="E36" i="2"/>
  <c r="G35" i="2"/>
  <c r="F35" i="2"/>
  <c r="E35" i="2"/>
  <c r="G34" i="2"/>
  <c r="F34" i="2"/>
  <c r="E34" i="2"/>
  <c r="G33" i="2"/>
  <c r="F33" i="2"/>
  <c r="E33" i="2"/>
  <c r="G32" i="2"/>
  <c r="F32" i="2"/>
  <c r="E32" i="2"/>
  <c r="G31" i="2"/>
  <c r="F31" i="2"/>
  <c r="E31" i="2"/>
  <c r="G30" i="2"/>
  <c r="F30" i="2"/>
  <c r="E30" i="2"/>
  <c r="G29" i="2"/>
  <c r="F29" i="2"/>
  <c r="E29" i="2"/>
  <c r="G28" i="2"/>
  <c r="F28" i="2"/>
  <c r="E28" i="2"/>
  <c r="G27" i="2"/>
  <c r="F27" i="2"/>
  <c r="E27" i="2"/>
  <c r="G26" i="2"/>
  <c r="F26" i="2"/>
  <c r="E26" i="2"/>
  <c r="G25" i="2"/>
  <c r="F25" i="2"/>
  <c r="E25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F18" i="2"/>
  <c r="E18" i="2"/>
  <c r="G17" i="2"/>
  <c r="F17" i="2"/>
  <c r="E17" i="2"/>
  <c r="G16" i="2"/>
  <c r="F16" i="2"/>
  <c r="E16" i="2"/>
  <c r="I118" i="2" l="1"/>
</calcChain>
</file>

<file path=xl/sharedStrings.xml><?xml version="1.0" encoding="utf-8"?>
<sst xmlns="http://schemas.openxmlformats.org/spreadsheetml/2006/main" count="646" uniqueCount="153">
  <si>
    <t>TRIBUNAL DE ARBITRAJE Y ESCALAFON DEL ESTADO DE JALISCO</t>
  </si>
  <si>
    <t>NO.</t>
  </si>
  <si>
    <t>NOMBRE</t>
  </si>
  <si>
    <t>NIVEL</t>
  </si>
  <si>
    <t>SUELDO</t>
  </si>
  <si>
    <t>DESPENSA</t>
  </si>
  <si>
    <t>TRANSPORTE</t>
  </si>
  <si>
    <t>EXCEDENTE</t>
  </si>
  <si>
    <t>QUINQUENIO</t>
  </si>
  <si>
    <t>ISR</t>
  </si>
  <si>
    <t>DESCRIPCION</t>
  </si>
  <si>
    <t>DEPENDENCIA</t>
  </si>
  <si>
    <t>C</t>
  </si>
  <si>
    <t xml:space="preserve">ACOSTA ESPINOSA JAIME ERNESTO DE JESUS                      </t>
  </si>
  <si>
    <t xml:space="preserve">MAGISTRADO                                                  </t>
  </si>
  <si>
    <t>TRIBUNAL DE ARBITRAJE Y ESCALAFON</t>
  </si>
  <si>
    <t xml:space="preserve">AGRAZ CAMARENA MARTHA                                       </t>
  </si>
  <si>
    <t xml:space="preserve">AUXILIAR DE INSTRUCCION                                     </t>
  </si>
  <si>
    <t>B</t>
  </si>
  <si>
    <t xml:space="preserve">AGUILA CHAVEZ RUTH ALHELI                                   </t>
  </si>
  <si>
    <t xml:space="preserve">OFICIAL MAYOR NOTIFICADOR                                   </t>
  </si>
  <si>
    <t xml:space="preserve">AGUILAR ALMANZAR MIGUEL ANTONIO                             </t>
  </si>
  <si>
    <t xml:space="preserve">AGUILAR GONZALEZ MARTHA PATRICIA                            </t>
  </si>
  <si>
    <t xml:space="preserve">SECRETARIA DEL TRIBUNAL                                     </t>
  </si>
  <si>
    <t xml:space="preserve">ALONSO RODRIGUEZ MARIA DEL ROSARIO                          </t>
  </si>
  <si>
    <t xml:space="preserve">ALVAREZ CARDENAS CECILIA ESTELA                             </t>
  </si>
  <si>
    <t xml:space="preserve">AUXILIAR ADMINISTRATIVO DEL TRIBUNAL                        </t>
  </si>
  <si>
    <t xml:space="preserve">ANDRADE VAZQUEZ VIRIDIANA                                   </t>
  </si>
  <si>
    <t xml:space="preserve">SECRETARIO EJECUTOR                                         </t>
  </si>
  <si>
    <t xml:space="preserve">ARP LAZO JOHANNA ELIZABETH                                  </t>
  </si>
  <si>
    <t xml:space="preserve">AVILA GUTIERREZ LAURA ANGELICA                              </t>
  </si>
  <si>
    <t xml:space="preserve">AVIÑA ORDAZ MARIA HORTENCIA                                 </t>
  </si>
  <si>
    <t xml:space="preserve">SECRETARIO DE ESTUDIO Y CUENTA                              </t>
  </si>
  <si>
    <t xml:space="preserve">BARRERA MEJIA JAIME                                         </t>
  </si>
  <si>
    <t xml:space="preserve">MENSAJERO DEL TRIBUNAL                                      </t>
  </si>
  <si>
    <t xml:space="preserve">BRISEÑO NAVARRETE GABRIEL                                   </t>
  </si>
  <si>
    <t xml:space="preserve">BRIZUELA MEDINA ADRIANA                                     </t>
  </si>
  <si>
    <t xml:space="preserve">CAMACHO PARRA SILVIA ARACELI                                </t>
  </si>
  <si>
    <t xml:space="preserve">CASTAÑEDA VIZCAINO MARIA DEL SOCORRO                        </t>
  </si>
  <si>
    <t xml:space="preserve">CRUZ FONSECA JOSE DE JESUS                                  </t>
  </si>
  <si>
    <t xml:space="preserve">CUEVAS GARCIA VERONICA ELIZABETH                            </t>
  </si>
  <si>
    <t xml:space="preserve">DAVILA RAMOS LIVIER NOHEMI                                  </t>
  </si>
  <si>
    <t xml:space="preserve">DE LA TORRE CARLOS JOSE SERGIO                              </t>
  </si>
  <si>
    <t xml:space="preserve">ESPARZA GOMEZ ANTONIO ULISES                                </t>
  </si>
  <si>
    <t xml:space="preserve">FERNANDEZ ARELLANO DIANA KARINA                             </t>
  </si>
  <si>
    <t xml:space="preserve">SECRETARIO GENERAL DEL TRIBUNAL                             </t>
  </si>
  <si>
    <t xml:space="preserve">FIGUEROA RENDON ROCIO DEL CARMEN                            </t>
  </si>
  <si>
    <t xml:space="preserve">FLORES RODRIGUEZ MARIA ANGELINA                             </t>
  </si>
  <si>
    <t xml:space="preserve">GALAVIZ VALLEJO CLAUDIA ELIZABETH                           </t>
  </si>
  <si>
    <t xml:space="preserve">GARCIA ALVARADO MARIA TERESA                                </t>
  </si>
  <si>
    <t xml:space="preserve">GARCIA MARTINEZ MA DE LOS ANGELES                           </t>
  </si>
  <si>
    <t xml:space="preserve">GARCIA RAMOS CLAUDIA                                        </t>
  </si>
  <si>
    <t xml:space="preserve">GARCIA SIORDIA MARIA CRISTINA                               </t>
  </si>
  <si>
    <t xml:space="preserve">GOMEZ LOPEZ OSIRIS                                          </t>
  </si>
  <si>
    <t xml:space="preserve">GONZALEZ ALVARADO JESUS VALENTE                             </t>
  </si>
  <si>
    <t xml:space="preserve">GONZALEZ ANTONIO ALEJANDRO                                  </t>
  </si>
  <si>
    <t xml:space="preserve">GONZALEZ HERNANDEZ IRMA                                     </t>
  </si>
  <si>
    <t xml:space="preserve">GUERRERO LOZANO CYNTHIA LIZBETH                             </t>
  </si>
  <si>
    <t xml:space="preserve">HERNANDEZ GARCIA MARIA CONCEPCION                           </t>
  </si>
  <si>
    <t xml:space="preserve">LARIOS GARCIA RUBEN DARIO                                   </t>
  </si>
  <si>
    <t xml:space="preserve">LARIOS RAMOS HECTOR ENRIQUE                                 </t>
  </si>
  <si>
    <t xml:space="preserve">LARIOS SANDOVAL LAURA CONSUELO                              </t>
  </si>
  <si>
    <t>LITIGIO</t>
  </si>
  <si>
    <t xml:space="preserve">JEFE ADMINISTRATIVO DEL TRIBUNAL                            </t>
  </si>
  <si>
    <t xml:space="preserve">LOPEZ RUIZ JOSE JUAN                                        </t>
  </si>
  <si>
    <t xml:space="preserve">MADRIGAL MALDONADO MARLENE                                  </t>
  </si>
  <si>
    <t xml:space="preserve">MANJARREZ RODRIGUEZ IGNACIO                                 </t>
  </si>
  <si>
    <t xml:space="preserve">MARTIN ACOSTA KARLA GEORGINA                                </t>
  </si>
  <si>
    <t xml:space="preserve">MARTIN DE LA MORA MARIA CELINA                              </t>
  </si>
  <si>
    <t xml:space="preserve">MARTIN DEL CAMPO LOPEZ YESHICA ILIANA                       </t>
  </si>
  <si>
    <t xml:space="preserve">MEDA HERNANDEZ TAMARA METZERI                               </t>
  </si>
  <si>
    <t xml:space="preserve">MENDOZA CARDENAS PAULINA                                    </t>
  </si>
  <si>
    <t xml:space="preserve">AUXILIAR DE INTENDENCIA DEL TRIBUNAL                        </t>
  </si>
  <si>
    <t xml:space="preserve">NAVARRO JIMENEZ JESUS ARMANDO                               </t>
  </si>
  <si>
    <t xml:space="preserve">OROZCO GONZALEZ GREGORIA SONIA                              </t>
  </si>
  <si>
    <t xml:space="preserve">ORTEGA MENDEZ ADRIANA                                       </t>
  </si>
  <si>
    <t xml:space="preserve">PEÑA FLORES CLAUDIA ARACELI                                 </t>
  </si>
  <si>
    <t xml:space="preserve">PEREZ FRIAS VICTORIA                                        </t>
  </si>
  <si>
    <t>PINEDA OCHOA MONICA LETICIA</t>
  </si>
  <si>
    <t xml:space="preserve">RAMIREZ GALLEGOS MARTHA ISELA                               </t>
  </si>
  <si>
    <t xml:space="preserve">RAMIREZ MUÑOZ SARA VERONICA                                 </t>
  </si>
  <si>
    <t xml:space="preserve">RAMIREZ RODRIGUEZ SALVADOR                                  </t>
  </si>
  <si>
    <t xml:space="preserve">INSPECTOR                                                   </t>
  </si>
  <si>
    <t xml:space="preserve">REA LOZANO ATZINTLI QUETZALLI                               </t>
  </si>
  <si>
    <t xml:space="preserve">RENTERIA ESQUEDA MONICA PAULINA                             </t>
  </si>
  <si>
    <t xml:space="preserve">REYES GARCIA LETICIA                                        </t>
  </si>
  <si>
    <t xml:space="preserve">REYNOSO OROZCO DANIELA                                      </t>
  </si>
  <si>
    <t xml:space="preserve">ROBLES CANDELARIO PATRICIA                                  </t>
  </si>
  <si>
    <t xml:space="preserve">RODRIGUEZ AGUILERA CONSUELO                                 </t>
  </si>
  <si>
    <t xml:space="preserve">RODRIGUEZ RODRIGUEZ MARIA EUGENIA                           </t>
  </si>
  <si>
    <t xml:space="preserve">RODRIGUEZ ZAVALA MARTHA PATRICIA                            </t>
  </si>
  <si>
    <t xml:space="preserve">SAINZ FRANCO AURORA                                         </t>
  </si>
  <si>
    <t xml:space="preserve">SANCHEZ SANCHEZ ALMA MINERVA                                </t>
  </si>
  <si>
    <t xml:space="preserve">SANCHEZ SANCHEZ GLADYS                                      </t>
  </si>
  <si>
    <t xml:space="preserve">TORRES CORTES HILDA MAGALY                                  </t>
  </si>
  <si>
    <t xml:space="preserve">TORRES MIRAMONTES MARIA DEL ROSARIO                         </t>
  </si>
  <si>
    <t xml:space="preserve">VALDIVIA SANDOVAL ANA ELIZABETH                             </t>
  </si>
  <si>
    <t xml:space="preserve">VALLE SALDAÑA LILIA DEL CARMEN                              </t>
  </si>
  <si>
    <t xml:space="preserve">VALLEJO GONZALEZ ILIANA JUDITH                              </t>
  </si>
  <si>
    <t xml:space="preserve">VILLAVERDE GUTIERREZ CLAUDIA IVETTE                         </t>
  </si>
  <si>
    <t xml:space="preserve">VILLEGAS SAUCEDO PAMELA MAGALY                              </t>
  </si>
  <si>
    <t xml:space="preserve">WITT FRANCO WENDY                                           </t>
  </si>
  <si>
    <t xml:space="preserve">WITT GUTIERREZ JUAN FERNANDO                                </t>
  </si>
  <si>
    <t>ACTIVO, VACANTE O LITIGIO</t>
  </si>
  <si>
    <t>CATEGORIA</t>
  </si>
  <si>
    <t>CUOTAS PARA VIVIENDA 3%</t>
  </si>
  <si>
    <t>CUOTAS AL SEDAR 2%</t>
  </si>
  <si>
    <t>DESPENSA 1712</t>
  </si>
  <si>
    <t>TRANSPORTE 1713</t>
  </si>
  <si>
    <t>ACTIVO</t>
  </si>
  <si>
    <t>TOTAL MUJERES</t>
  </si>
  <si>
    <t xml:space="preserve">PLAZAS VACANTES </t>
  </si>
  <si>
    <t>TOTAL HOMBRES</t>
  </si>
  <si>
    <t>PLAZAS OCUPADAS</t>
  </si>
  <si>
    <t>TOTAL</t>
  </si>
  <si>
    <t>CATEGORIA B</t>
  </si>
  <si>
    <t>BASE</t>
  </si>
  <si>
    <t>CATEGORIA C</t>
  </si>
  <si>
    <t>CONFIANZA</t>
  </si>
  <si>
    <t>TOTAL MUJERES BASE</t>
  </si>
  <si>
    <t>TOTAL HOMBRES BASE</t>
  </si>
  <si>
    <t>TOTAL MUJERES CONFIANZA</t>
  </si>
  <si>
    <t>TOTAL HOMBRES CONFIANZA</t>
  </si>
  <si>
    <t xml:space="preserve">TOTAL  PLAZAS </t>
  </si>
  <si>
    <t>FONDO DE PENSIONES</t>
  </si>
  <si>
    <t>LOPEZ GUILLEN FRANCISCO JAVIER</t>
  </si>
  <si>
    <t xml:space="preserve">MAGISTRADO                                 </t>
  </si>
  <si>
    <t xml:space="preserve">MAGISTRADA PRESIDENTE                                                  </t>
  </si>
  <si>
    <t>B/C</t>
  </si>
  <si>
    <t>DIAZ FLORES VIOLETA</t>
  </si>
  <si>
    <t>TECNICO ESPECIALIZADO</t>
  </si>
  <si>
    <t>TRIBUNAL DE ARBITRAJE Y ESCALAFÓN</t>
  </si>
  <si>
    <t>GALVAN BASULTO MAYELA</t>
  </si>
  <si>
    <t>AUXILIAR DE INTENDENCIA DEL TRIBUNAL</t>
  </si>
  <si>
    <t>AUXILIAR DE INSTRUCCIÓN</t>
  </si>
  <si>
    <t xml:space="preserve">SOTO CICILIANO LAURA </t>
  </si>
  <si>
    <t>SECRETARIA DEL TRIBUNAL</t>
  </si>
  <si>
    <t>ARELLANO CERNA RICARDO</t>
  </si>
  <si>
    <t>OFICIAL MAYOR NOTIFICADOR</t>
  </si>
  <si>
    <t>COORDINADOR DE ANALISIS Y SEGUIMIENTO</t>
  </si>
  <si>
    <t>LOPEZ GARCIA EDGAR RIGOBERTO</t>
  </si>
  <si>
    <t>BARAJAS BANDERAS JOSE ROBERTO</t>
  </si>
  <si>
    <t xml:space="preserve">VACANTE                                  </t>
  </si>
  <si>
    <t>VACANTE</t>
  </si>
  <si>
    <t xml:space="preserve"> APORTACION A PENSIONES PATRON</t>
  </si>
  <si>
    <t>H</t>
  </si>
  <si>
    <t>M</t>
  </si>
  <si>
    <t>GUZMAN ROBLEDO NOEMI FABIOLA</t>
  </si>
  <si>
    <t>REMUNERACIONES  MARZO 2019</t>
  </si>
  <si>
    <t>REMUNERACIONES DEL MES DE MARZO DE 2019</t>
  </si>
  <si>
    <t>PRIMA VAC</t>
  </si>
  <si>
    <t>ISR PV</t>
  </si>
  <si>
    <t>DE LA CRUZ SALAS PRISCILA YARID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</si>
</sst>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18">
    <xf numFmtId="0" fontId="0" fillId="0" borderId="0" xfId="0"/>
    <xf numFmtId="0" fontId="4" fillId="0" borderId="0" xfId="0" applyFont="1"/>
    <xf numFmtId="0" fontId="0" fillId="0" borderId="3" xfId="0" applyBorder="1"/>
    <xf numFmtId="0" fontId="0" fillId="0" borderId="0" xfId="0" applyFill="1"/>
    <xf numFmtId="0" fontId="0" fillId="0" borderId="10" xfId="0" applyBorder="1"/>
    <xf numFmtId="4" fontId="0" fillId="5" borderId="5" xfId="0" applyNumberFormat="1" applyFill="1" applyBorder="1"/>
    <xf numFmtId="0" fontId="3" fillId="0" borderId="0" xfId="0" applyFont="1"/>
    <xf numFmtId="4" fontId="0" fillId="5" borderId="5" xfId="0" applyNumberFormat="1" applyFill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0" fillId="0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0" fillId="5" borderId="0" xfId="0" applyNumberForma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0" fillId="0" borderId="0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0" borderId="3" xfId="0" applyFont="1" applyBorder="1"/>
    <xf numFmtId="0" fontId="0" fillId="0" borderId="12" xfId="0" applyBorder="1"/>
    <xf numFmtId="0" fontId="4" fillId="0" borderId="12" xfId="0" applyFont="1" applyBorder="1"/>
    <xf numFmtId="0" fontId="0" fillId="0" borderId="18" xfId="0" applyBorder="1"/>
    <xf numFmtId="0" fontId="0" fillId="0" borderId="0" xfId="0" applyAlignment="1">
      <alignment horizontal="left"/>
    </xf>
    <xf numFmtId="17" fontId="7" fillId="0" borderId="0" xfId="1" applyNumberFormat="1" applyFont="1" applyFill="1" applyBorder="1"/>
    <xf numFmtId="0" fontId="0" fillId="0" borderId="7" xfId="0" applyBorder="1" applyAlignment="1">
      <alignment horizontal="center"/>
    </xf>
    <xf numFmtId="0" fontId="0" fillId="5" borderId="7" xfId="0" applyFill="1" applyBorder="1" applyAlignment="1">
      <alignment horizontal="center"/>
    </xf>
    <xf numFmtId="4" fontId="0" fillId="5" borderId="21" xfId="0" applyNumberFormat="1" applyFill="1" applyBorder="1" applyAlignment="1">
      <alignment horizontal="right"/>
    </xf>
    <xf numFmtId="0" fontId="0" fillId="6" borderId="12" xfId="0" applyFont="1" applyFill="1" applyBorder="1"/>
    <xf numFmtId="0" fontId="3" fillId="6" borderId="12" xfId="0" applyFont="1" applyFill="1" applyBorder="1" applyAlignment="1">
      <alignment horizontal="center" wrapText="1"/>
    </xf>
    <xf numFmtId="9" fontId="3" fillId="6" borderId="12" xfId="0" applyNumberFormat="1" applyFont="1" applyFill="1" applyBorder="1" applyAlignment="1">
      <alignment horizontal="center" wrapText="1"/>
    </xf>
    <xf numFmtId="0" fontId="11" fillId="3" borderId="1" xfId="2" applyFont="1" applyAlignment="1">
      <alignment wrapText="1"/>
    </xf>
    <xf numFmtId="0" fontId="11" fillId="3" borderId="1" xfId="2" applyFont="1"/>
    <xf numFmtId="0" fontId="9" fillId="0" borderId="12" xfId="0" applyFont="1" applyBorder="1"/>
    <xf numFmtId="0" fontId="0" fillId="7" borderId="0" xfId="0" applyFill="1"/>
    <xf numFmtId="0" fontId="12" fillId="0" borderId="0" xfId="0" applyFont="1"/>
    <xf numFmtId="0" fontId="0" fillId="5" borderId="0" xfId="0" applyFill="1"/>
    <xf numFmtId="0" fontId="0" fillId="5" borderId="24" xfId="0" applyFill="1" applyBorder="1"/>
    <xf numFmtId="0" fontId="12" fillId="5" borderId="0" xfId="0" applyFont="1" applyFill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4" fontId="13" fillId="5" borderId="5" xfId="0" applyNumberFormat="1" applyFont="1" applyFill="1" applyBorder="1"/>
    <xf numFmtId="0" fontId="11" fillId="3" borderId="27" xfId="2" applyFont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2" fontId="0" fillId="5" borderId="5" xfId="0" applyNumberFormat="1" applyFill="1" applyBorder="1"/>
    <xf numFmtId="0" fontId="0" fillId="5" borderId="28" xfId="0" applyFill="1" applyBorder="1"/>
    <xf numFmtId="0" fontId="13" fillId="5" borderId="24" xfId="0" applyFont="1" applyFill="1" applyBorder="1"/>
    <xf numFmtId="0" fontId="0" fillId="5" borderId="26" xfId="0" applyFill="1" applyBorder="1"/>
    <xf numFmtId="4" fontId="0" fillId="5" borderId="21" xfId="0" applyNumberFormat="1" applyFill="1" applyBorder="1"/>
    <xf numFmtId="0" fontId="8" fillId="5" borderId="11" xfId="0" applyFont="1" applyFill="1" applyBorder="1"/>
    <xf numFmtId="0" fontId="0" fillId="4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" fontId="0" fillId="4" borderId="5" xfId="0" applyNumberFormat="1" applyFill="1" applyBorder="1"/>
    <xf numFmtId="4" fontId="0" fillId="4" borderId="5" xfId="0" applyNumberFormat="1" applyFill="1" applyBorder="1" applyAlignment="1">
      <alignment horizontal="right"/>
    </xf>
    <xf numFmtId="2" fontId="0" fillId="4" borderId="5" xfId="0" applyNumberFormat="1" applyFill="1" applyBorder="1"/>
    <xf numFmtId="0" fontId="0" fillId="4" borderId="24" xfId="0" applyFill="1" applyBorder="1"/>
    <xf numFmtId="4" fontId="8" fillId="4" borderId="5" xfId="0" applyNumberFormat="1" applyFont="1" applyFill="1" applyBorder="1" applyAlignment="1">
      <alignment horizontal="right"/>
    </xf>
    <xf numFmtId="0" fontId="0" fillId="4" borderId="28" xfId="0" applyFill="1" applyBorder="1"/>
    <xf numFmtId="0" fontId="13" fillId="4" borderId="24" xfId="0" applyFont="1" applyFill="1" applyBorder="1"/>
    <xf numFmtId="4" fontId="13" fillId="4" borderId="5" xfId="0" applyNumberFormat="1" applyFont="1" applyFill="1" applyBorder="1"/>
    <xf numFmtId="0" fontId="9" fillId="0" borderId="0" xfId="0" applyFont="1" applyBorder="1"/>
    <xf numFmtId="0" fontId="4" fillId="0" borderId="0" xfId="0" applyFont="1" applyBorder="1"/>
    <xf numFmtId="0" fontId="0" fillId="4" borderId="31" xfId="0" applyFill="1" applyBorder="1"/>
    <xf numFmtId="0" fontId="0" fillId="5" borderId="5" xfId="0" applyFill="1" applyBorder="1"/>
    <xf numFmtId="0" fontId="0" fillId="4" borderId="7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4" fontId="0" fillId="4" borderId="5" xfId="0" applyNumberFormat="1" applyFont="1" applyFill="1" applyBorder="1" applyAlignment="1">
      <alignment horizontal="right"/>
    </xf>
    <xf numFmtId="0" fontId="0" fillId="4" borderId="0" xfId="0" applyFill="1"/>
    <xf numFmtId="0" fontId="0" fillId="4" borderId="25" xfId="0" applyFill="1" applyBorder="1"/>
    <xf numFmtId="4" fontId="0" fillId="4" borderId="10" xfId="0" applyNumberFormat="1" applyFill="1" applyBorder="1"/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8" fillId="5" borderId="13" xfId="0" applyFont="1" applyFill="1" applyBorder="1"/>
    <xf numFmtId="4" fontId="0" fillId="5" borderId="22" xfId="0" applyNumberFormat="1" applyFill="1" applyBorder="1"/>
    <xf numFmtId="0" fontId="8" fillId="5" borderId="22" xfId="0" applyFont="1" applyFill="1" applyBorder="1"/>
    <xf numFmtId="0" fontId="8" fillId="5" borderId="17" xfId="0" applyFont="1" applyFill="1" applyBorder="1"/>
    <xf numFmtId="0" fontId="8" fillId="5" borderId="0" xfId="0" applyFont="1" applyFill="1" applyBorder="1"/>
    <xf numFmtId="0" fontId="0" fillId="5" borderId="31" xfId="0" applyFill="1" applyBorder="1"/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19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8" fillId="5" borderId="30" xfId="0" applyFont="1" applyFill="1" applyBorder="1" applyAlignment="1">
      <alignment horizontal="left" vertical="center"/>
    </xf>
    <xf numFmtId="4" fontId="0" fillId="5" borderId="32" xfId="0" applyNumberFormat="1" applyFill="1" applyBorder="1"/>
    <xf numFmtId="0" fontId="8" fillId="5" borderId="29" xfId="0" applyFont="1" applyFill="1" applyBorder="1"/>
    <xf numFmtId="4" fontId="0" fillId="5" borderId="19" xfId="0" applyNumberFormat="1" applyFill="1" applyBorder="1"/>
    <xf numFmtId="4" fontId="0" fillId="5" borderId="29" xfId="0" applyNumberFormat="1" applyFill="1" applyBorder="1"/>
    <xf numFmtId="0" fontId="0" fillId="5" borderId="23" xfId="0" applyFill="1" applyBorder="1"/>
    <xf numFmtId="0" fontId="0" fillId="5" borderId="22" xfId="0" applyFill="1" applyBorder="1"/>
    <xf numFmtId="0" fontId="0" fillId="5" borderId="5" xfId="0" applyNumberFormat="1" applyFill="1" applyBorder="1"/>
    <xf numFmtId="0" fontId="13" fillId="5" borderId="5" xfId="0" applyFont="1" applyFill="1" applyBorder="1"/>
    <xf numFmtId="4" fontId="13" fillId="5" borderId="22" xfId="0" applyNumberFormat="1" applyFont="1" applyFill="1" applyBorder="1"/>
    <xf numFmtId="0" fontId="14" fillId="5" borderId="5" xfId="0" applyFont="1" applyFill="1" applyBorder="1"/>
    <xf numFmtId="0" fontId="8" fillId="5" borderId="5" xfId="0" applyFont="1" applyFill="1" applyBorder="1"/>
    <xf numFmtId="4" fontId="0" fillId="5" borderId="10" xfId="0" applyNumberFormat="1" applyFill="1" applyBorder="1"/>
    <xf numFmtId="4" fontId="0" fillId="5" borderId="11" xfId="0" applyNumberFormat="1" applyFill="1" applyBorder="1"/>
    <xf numFmtId="0" fontId="0" fillId="5" borderId="25" xfId="0" applyFill="1" applyBorder="1"/>
    <xf numFmtId="0" fontId="0" fillId="4" borderId="4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3" xfId="0" applyFill="1" applyBorder="1"/>
    <xf numFmtId="4" fontId="0" fillId="4" borderId="19" xfId="0" applyNumberFormat="1" applyFill="1" applyBorder="1" applyAlignment="1">
      <alignment horizontal="right"/>
    </xf>
    <xf numFmtId="4" fontId="0" fillId="4" borderId="19" xfId="0" applyNumberFormat="1" applyFill="1" applyBorder="1"/>
  </cellXfs>
  <cellStyles count="3">
    <cellStyle name="Entrada" xfId="2" builtinId="20"/>
    <cellStyle name="Incorrecto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128452</xdr:colOff>
      <xdr:row>1</xdr:row>
      <xdr:rowOff>38747</xdr:rowOff>
    </xdr:from>
    <xdr:to>
      <xdr:col>2</xdr:col>
      <xdr:colOff>2516053</xdr:colOff>
      <xdr:row>5</xdr:row>
      <xdr:rowOff>173684</xdr:rowOff>
    </xdr:to>
    <xdr:pic>
      <xdr:nvPicPr>
        <xdr:cNvPr id="2" name="1 Imagen" descr="Logo-Tribunal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439" y="232476"/>
          <a:ext cx="2387601" cy="102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1628775</xdr:colOff>
      <xdr:row>5</xdr:row>
      <xdr:rowOff>154099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2962275" cy="91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75"/>
  <sheetViews>
    <sheetView tabSelected="1" topLeftCell="A7" zoomScale="118" zoomScaleNormal="118" workbookViewId="0">
      <selection activeCell="F100" sqref="F100"/>
    </sheetView>
  </sheetViews>
  <sheetFormatPr baseColWidth="10" defaultRowHeight="15" x14ac:dyDescent="0.25"/>
  <cols>
    <col min="1" max="1" width="5.7109375" customWidth="1"/>
    <col min="2" max="2" width="6" customWidth="1"/>
    <col min="3" max="3" width="43.28515625" customWidth="1"/>
    <col min="4" max="4" width="5.5703125" hidden="1" customWidth="1"/>
    <col min="5" max="5" width="8.42578125" customWidth="1"/>
    <col min="7" max="7" width="14.42578125" customWidth="1"/>
    <col min="8" max="8" width="14.7109375" customWidth="1"/>
    <col min="10" max="12" width="13.5703125" customWidth="1"/>
    <col min="14" max="14" width="13.140625" customWidth="1"/>
    <col min="15" max="15" width="40.7109375" customWidth="1"/>
    <col min="16" max="16" width="34.85546875" customWidth="1"/>
  </cols>
  <sheetData>
    <row r="1" spans="1:51" x14ac:dyDescent="0.25">
      <c r="B1" s="2"/>
      <c r="C1" s="22"/>
      <c r="D1" s="15"/>
    </row>
    <row r="2" spans="1:51" x14ac:dyDescent="0.25">
      <c r="B2" s="2"/>
      <c r="C2" s="22"/>
      <c r="D2" s="15"/>
    </row>
    <row r="3" spans="1:51" ht="15.75" x14ac:dyDescent="0.25">
      <c r="B3" s="2"/>
      <c r="C3" s="35"/>
      <c r="D3" s="62"/>
    </row>
    <row r="4" spans="1:51" x14ac:dyDescent="0.25">
      <c r="B4" s="2"/>
      <c r="C4" s="22"/>
      <c r="D4" s="15"/>
      <c r="F4" s="18"/>
      <c r="G4" s="19"/>
      <c r="H4" s="19"/>
      <c r="I4" s="19"/>
      <c r="J4" s="19"/>
      <c r="K4" s="19"/>
      <c r="L4" s="19"/>
      <c r="M4" s="19"/>
      <c r="N4" s="19"/>
      <c r="O4" s="20"/>
    </row>
    <row r="5" spans="1:51" ht="23.25" x14ac:dyDescent="0.35">
      <c r="A5" s="1"/>
      <c r="B5" s="21"/>
      <c r="C5" s="23"/>
      <c r="D5" s="63"/>
      <c r="E5" s="1"/>
      <c r="F5" s="80" t="s">
        <v>0</v>
      </c>
      <c r="G5" s="81"/>
      <c r="H5" s="81"/>
      <c r="I5" s="81"/>
      <c r="J5" s="81"/>
      <c r="K5" s="81"/>
      <c r="L5" s="81"/>
      <c r="M5" s="81"/>
      <c r="N5" s="81"/>
      <c r="O5" s="82"/>
      <c r="P5" s="1"/>
      <c r="Q5" s="1"/>
    </row>
    <row r="6" spans="1:51" ht="21" x14ac:dyDescent="0.35">
      <c r="B6" s="2"/>
      <c r="C6" s="22"/>
      <c r="D6" s="2"/>
      <c r="E6" s="2"/>
      <c r="F6" s="83" t="s">
        <v>148</v>
      </c>
      <c r="G6" s="84"/>
      <c r="H6" s="84"/>
      <c r="I6" s="84"/>
      <c r="J6" s="84"/>
      <c r="K6" s="84"/>
      <c r="L6" s="84"/>
      <c r="M6" s="84"/>
      <c r="N6" s="84"/>
      <c r="O6" s="85"/>
    </row>
    <row r="7" spans="1:51" x14ac:dyDescent="0.25">
      <c r="B7" s="2"/>
      <c r="C7" s="4"/>
      <c r="D7" s="15"/>
      <c r="E7" s="15"/>
    </row>
    <row r="8" spans="1:51" s="3" customFormat="1" x14ac:dyDescent="0.25">
      <c r="E8" s="17"/>
      <c r="F8" s="26"/>
      <c r="H8" s="17"/>
    </row>
    <row r="9" spans="1:51" x14ac:dyDescent="0.25">
      <c r="F9" s="24"/>
      <c r="G9" s="25"/>
    </row>
    <row r="10" spans="1:51" s="34" customFormat="1" ht="23.25" customHeight="1" thickBot="1" x14ac:dyDescent="0.3">
      <c r="A10" s="44" t="s">
        <v>1</v>
      </c>
      <c r="B10" s="44" t="s">
        <v>128</v>
      </c>
      <c r="C10" s="44" t="s">
        <v>2</v>
      </c>
      <c r="D10" s="44"/>
      <c r="E10" s="44" t="s">
        <v>3</v>
      </c>
      <c r="F10" s="44" t="s">
        <v>4</v>
      </c>
      <c r="G10" s="44" t="s">
        <v>5</v>
      </c>
      <c r="H10" s="44" t="s">
        <v>6</v>
      </c>
      <c r="I10" s="44" t="s">
        <v>7</v>
      </c>
      <c r="J10" s="44" t="s">
        <v>8</v>
      </c>
      <c r="K10" s="44" t="s">
        <v>150</v>
      </c>
      <c r="L10" s="44" t="s">
        <v>151</v>
      </c>
      <c r="M10" s="44" t="s">
        <v>9</v>
      </c>
      <c r="N10" s="44" t="s">
        <v>124</v>
      </c>
      <c r="O10" s="44" t="s">
        <v>10</v>
      </c>
      <c r="P10" s="44" t="s">
        <v>11</v>
      </c>
      <c r="Q10" s="33"/>
    </row>
    <row r="11" spans="1:51" s="36" customFormat="1" ht="15.75" thickBot="1" x14ac:dyDescent="0.3">
      <c r="A11" s="45">
        <v>1</v>
      </c>
      <c r="B11" s="100" t="s">
        <v>12</v>
      </c>
      <c r="C11" s="65" t="s">
        <v>13</v>
      </c>
      <c r="D11" s="65" t="s">
        <v>145</v>
      </c>
      <c r="E11" s="65">
        <v>24</v>
      </c>
      <c r="F11" s="5">
        <f>27565.5*2</f>
        <v>55131</v>
      </c>
      <c r="G11" s="5">
        <f>1028.5*2</f>
        <v>2057</v>
      </c>
      <c r="H11" s="101">
        <f>728.5*2</f>
        <v>1457</v>
      </c>
      <c r="I11" s="101">
        <v>0</v>
      </c>
      <c r="J11" s="101">
        <f>102.68*2</f>
        <v>205.36</v>
      </c>
      <c r="K11" s="101"/>
      <c r="L11" s="101"/>
      <c r="M11" s="101">
        <f>6710.53*2</f>
        <v>13421.06</v>
      </c>
      <c r="N11" s="102">
        <f>3170.03*2</f>
        <v>6340.06</v>
      </c>
      <c r="O11" s="103" t="s">
        <v>14</v>
      </c>
      <c r="P11" s="103" t="s">
        <v>15</v>
      </c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</row>
    <row r="12" spans="1:51" ht="15.75" thickBot="1" x14ac:dyDescent="0.3">
      <c r="A12" s="45">
        <v>2</v>
      </c>
      <c r="B12" s="74" t="s">
        <v>12</v>
      </c>
      <c r="C12" s="65" t="s">
        <v>16</v>
      </c>
      <c r="D12" s="65" t="s">
        <v>146</v>
      </c>
      <c r="E12" s="65">
        <v>16</v>
      </c>
      <c r="F12" s="5">
        <f>11416*2</f>
        <v>22832</v>
      </c>
      <c r="G12" s="5">
        <f>623.5*2</f>
        <v>1247</v>
      </c>
      <c r="H12" s="5">
        <f>389.5*2</f>
        <v>779</v>
      </c>
      <c r="I12" s="5">
        <v>0</v>
      </c>
      <c r="J12" s="5">
        <v>0</v>
      </c>
      <c r="K12" s="5"/>
      <c r="L12" s="5"/>
      <c r="M12" s="5">
        <f>2026.97*2</f>
        <v>4053.94</v>
      </c>
      <c r="N12" s="75">
        <f>1312.84*2</f>
        <v>2625.68</v>
      </c>
      <c r="O12" s="39" t="s">
        <v>17</v>
      </c>
      <c r="P12" s="39" t="s">
        <v>15</v>
      </c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</row>
    <row r="13" spans="1:51" ht="15.75" thickBot="1" x14ac:dyDescent="0.3">
      <c r="A13" s="45">
        <v>3</v>
      </c>
      <c r="B13" s="76" t="s">
        <v>12</v>
      </c>
      <c r="C13" s="65" t="s">
        <v>19</v>
      </c>
      <c r="D13" s="65" t="s">
        <v>146</v>
      </c>
      <c r="E13" s="65">
        <v>11</v>
      </c>
      <c r="F13" s="5">
        <f>7366.5*2</f>
        <v>14733</v>
      </c>
      <c r="G13" s="5">
        <f>546.5*2</f>
        <v>1093</v>
      </c>
      <c r="H13" s="5">
        <f>339.5*2</f>
        <v>679</v>
      </c>
      <c r="I13" s="5">
        <v>0</v>
      </c>
      <c r="J13" s="5">
        <v>0</v>
      </c>
      <c r="K13" s="5"/>
      <c r="L13" s="5"/>
      <c r="M13" s="5">
        <f>1124.56*2</f>
        <v>2249.12</v>
      </c>
      <c r="N13" s="75">
        <f>847.15*2</f>
        <v>1694.3</v>
      </c>
      <c r="O13" s="39" t="s">
        <v>20</v>
      </c>
      <c r="P13" s="39" t="s">
        <v>15</v>
      </c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</row>
    <row r="14" spans="1:51" ht="15.75" thickBot="1" x14ac:dyDescent="0.3">
      <c r="A14" s="45">
        <v>4</v>
      </c>
      <c r="B14" s="77" t="s">
        <v>12</v>
      </c>
      <c r="C14" s="65" t="s">
        <v>21</v>
      </c>
      <c r="D14" s="65" t="s">
        <v>145</v>
      </c>
      <c r="E14" s="65">
        <v>16</v>
      </c>
      <c r="F14" s="5">
        <f>11416*2</f>
        <v>22832</v>
      </c>
      <c r="G14" s="5">
        <f>623.5*2</f>
        <v>1247</v>
      </c>
      <c r="H14" s="5">
        <f>389.5*2</f>
        <v>779</v>
      </c>
      <c r="I14" s="5">
        <v>0</v>
      </c>
      <c r="J14" s="5">
        <f>154.02*2</f>
        <v>308.04000000000002</v>
      </c>
      <c r="K14" s="5"/>
      <c r="L14" s="5"/>
      <c r="M14" s="5">
        <f>2063.19*2</f>
        <v>4126.38</v>
      </c>
      <c r="N14" s="75">
        <f>1330.55*2</f>
        <v>2661.1</v>
      </c>
      <c r="O14" s="39" t="s">
        <v>17</v>
      </c>
      <c r="P14" s="39" t="s">
        <v>15</v>
      </c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</row>
    <row r="15" spans="1:51" ht="15.75" thickBot="1" x14ac:dyDescent="0.3">
      <c r="A15" s="45">
        <v>5</v>
      </c>
      <c r="B15" s="76" t="s">
        <v>18</v>
      </c>
      <c r="C15" s="65" t="s">
        <v>22</v>
      </c>
      <c r="D15" s="65" t="s">
        <v>146</v>
      </c>
      <c r="E15" s="65">
        <v>11</v>
      </c>
      <c r="F15" s="5">
        <f>7366.5*2</f>
        <v>14733</v>
      </c>
      <c r="G15" s="5">
        <f>546.5*2</f>
        <v>1093</v>
      </c>
      <c r="H15" s="5">
        <f>339.5*2</f>
        <v>679</v>
      </c>
      <c r="I15" s="5">
        <v>0</v>
      </c>
      <c r="J15" s="5">
        <f>102.68*2</f>
        <v>205.36</v>
      </c>
      <c r="K15" s="5"/>
      <c r="L15" s="5"/>
      <c r="M15" s="5">
        <f>1146.49*2</f>
        <v>2292.98</v>
      </c>
      <c r="N15" s="75">
        <f>847.15*2</f>
        <v>1694.3</v>
      </c>
      <c r="O15" s="39" t="s">
        <v>23</v>
      </c>
      <c r="P15" s="39" t="s">
        <v>15</v>
      </c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</row>
    <row r="16" spans="1:51" ht="15.75" thickBot="1" x14ac:dyDescent="0.3">
      <c r="A16" s="45">
        <v>6</v>
      </c>
      <c r="B16" s="76" t="s">
        <v>18</v>
      </c>
      <c r="C16" s="65" t="s">
        <v>24</v>
      </c>
      <c r="D16" s="65" t="s">
        <v>146</v>
      </c>
      <c r="E16" s="65">
        <v>11</v>
      </c>
      <c r="F16" s="5">
        <f>7366.5*2</f>
        <v>14733</v>
      </c>
      <c r="G16" s="5">
        <f>546.5*2</f>
        <v>1093</v>
      </c>
      <c r="H16" s="5">
        <f>339.5*2</f>
        <v>679</v>
      </c>
      <c r="I16" s="5">
        <v>0</v>
      </c>
      <c r="J16" s="5">
        <f>102.68*2</f>
        <v>205.36</v>
      </c>
      <c r="K16" s="5"/>
      <c r="L16" s="5"/>
      <c r="M16" s="5">
        <f>1146.49*2</f>
        <v>2292.98</v>
      </c>
      <c r="N16" s="75">
        <f>847.15*2</f>
        <v>1694.3</v>
      </c>
      <c r="O16" s="39" t="s">
        <v>23</v>
      </c>
      <c r="P16" s="39" t="s">
        <v>15</v>
      </c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</row>
    <row r="17" spans="1:51" ht="15.75" thickBot="1" x14ac:dyDescent="0.3">
      <c r="A17" s="45">
        <v>7</v>
      </c>
      <c r="B17" s="76" t="s">
        <v>18</v>
      </c>
      <c r="C17" s="65" t="s">
        <v>25</v>
      </c>
      <c r="D17" s="65" t="s">
        <v>146</v>
      </c>
      <c r="E17" s="65">
        <v>11</v>
      </c>
      <c r="F17" s="5">
        <f>7366.5*2</f>
        <v>14733</v>
      </c>
      <c r="G17" s="5">
        <f>546.5*2</f>
        <v>1093</v>
      </c>
      <c r="H17" s="5">
        <f>339.5*2</f>
        <v>679</v>
      </c>
      <c r="I17" s="5">
        <v>0</v>
      </c>
      <c r="J17" s="5">
        <f>102.68*2</f>
        <v>205.36</v>
      </c>
      <c r="K17" s="5"/>
      <c r="L17" s="5"/>
      <c r="M17" s="5">
        <f>1146.49*2</f>
        <v>2292.98</v>
      </c>
      <c r="N17" s="75">
        <f>847.15*2</f>
        <v>1694.3</v>
      </c>
      <c r="O17" s="39" t="s">
        <v>26</v>
      </c>
      <c r="P17" s="39" t="s">
        <v>15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</row>
    <row r="18" spans="1:51" ht="15.75" thickBot="1" x14ac:dyDescent="0.3">
      <c r="A18" s="45">
        <v>8</v>
      </c>
      <c r="B18" s="78" t="s">
        <v>12</v>
      </c>
      <c r="C18" s="65" t="s">
        <v>27</v>
      </c>
      <c r="D18" s="65" t="s">
        <v>146</v>
      </c>
      <c r="E18" s="65">
        <v>17</v>
      </c>
      <c r="F18" s="5">
        <f>12864.5*2</f>
        <v>25729</v>
      </c>
      <c r="G18" s="5">
        <f>643*2</f>
        <v>1286</v>
      </c>
      <c r="H18" s="5">
        <f>428.5*2</f>
        <v>857</v>
      </c>
      <c r="I18" s="5">
        <v>0</v>
      </c>
      <c r="J18" s="5">
        <f>154.02*2</f>
        <v>308.04000000000002</v>
      </c>
      <c r="K18" s="5"/>
      <c r="L18" s="5"/>
      <c r="M18" s="5">
        <f>2417.65*2</f>
        <v>4835.3</v>
      </c>
      <c r="N18" s="75">
        <f>1497.13*2</f>
        <v>2994.26</v>
      </c>
      <c r="O18" s="39" t="s">
        <v>28</v>
      </c>
      <c r="P18" s="39" t="s">
        <v>15</v>
      </c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</row>
    <row r="19" spans="1:51" ht="15.75" thickBot="1" x14ac:dyDescent="0.3">
      <c r="A19" s="45">
        <v>9</v>
      </c>
      <c r="B19" s="104" t="s">
        <v>12</v>
      </c>
      <c r="C19" s="65" t="s">
        <v>137</v>
      </c>
      <c r="D19" s="65" t="s">
        <v>145</v>
      </c>
      <c r="E19" s="65">
        <v>11</v>
      </c>
      <c r="F19" s="5">
        <f>7366.5*2</f>
        <v>14733</v>
      </c>
      <c r="G19" s="5">
        <f>546.5*2</f>
        <v>1093</v>
      </c>
      <c r="H19" s="46">
        <f>339.5*2</f>
        <v>679</v>
      </c>
      <c r="I19" s="46">
        <v>0</v>
      </c>
      <c r="J19" s="46">
        <v>0</v>
      </c>
      <c r="K19" s="46"/>
      <c r="L19" s="46"/>
      <c r="M19" s="5">
        <f>1124.56*2</f>
        <v>2249.12</v>
      </c>
      <c r="N19" s="75">
        <f>847.15*2</f>
        <v>1694.3</v>
      </c>
      <c r="O19" s="47" t="s">
        <v>138</v>
      </c>
      <c r="P19" s="39" t="s">
        <v>15</v>
      </c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</row>
    <row r="20" spans="1:51" ht="15.75" thickBot="1" x14ac:dyDescent="0.3">
      <c r="A20" s="45">
        <v>10</v>
      </c>
      <c r="B20" s="76" t="s">
        <v>18</v>
      </c>
      <c r="C20" s="65" t="s">
        <v>29</v>
      </c>
      <c r="D20" s="65" t="s">
        <v>146</v>
      </c>
      <c r="E20" s="65">
        <v>11</v>
      </c>
      <c r="F20" s="5">
        <f>7366.5*2</f>
        <v>14733</v>
      </c>
      <c r="G20" s="5">
        <f>546.5*2</f>
        <v>1093</v>
      </c>
      <c r="H20" s="5">
        <f>339.5*2</f>
        <v>679</v>
      </c>
      <c r="I20" s="5">
        <v>0</v>
      </c>
      <c r="J20" s="5">
        <f>205.36*2</f>
        <v>410.72</v>
      </c>
      <c r="K20" s="5"/>
      <c r="L20" s="5"/>
      <c r="M20" s="5">
        <f>1168.42*2</f>
        <v>2336.84</v>
      </c>
      <c r="N20" s="75">
        <f>870.76*2</f>
        <v>1741.52</v>
      </c>
      <c r="O20" s="39" t="s">
        <v>23</v>
      </c>
      <c r="P20" s="39" t="s">
        <v>15</v>
      </c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</row>
    <row r="21" spans="1:51" ht="15.75" thickBot="1" x14ac:dyDescent="0.3">
      <c r="A21" s="45">
        <v>11</v>
      </c>
      <c r="B21" s="51" t="s">
        <v>12</v>
      </c>
      <c r="C21" s="65" t="s">
        <v>30</v>
      </c>
      <c r="D21" s="65" t="s">
        <v>146</v>
      </c>
      <c r="E21" s="65">
        <v>16</v>
      </c>
      <c r="F21" s="5">
        <f>11416*2</f>
        <v>22832</v>
      </c>
      <c r="G21" s="5">
        <f>623.5*2</f>
        <v>1247</v>
      </c>
      <c r="H21" s="5">
        <f>389.5*2</f>
        <v>779</v>
      </c>
      <c r="I21" s="5">
        <v>0</v>
      </c>
      <c r="J21" s="5">
        <f>102.68*2</f>
        <v>205.36</v>
      </c>
      <c r="K21" s="5"/>
      <c r="L21" s="5"/>
      <c r="M21" s="5">
        <f>2051.12*2</f>
        <v>4102.24</v>
      </c>
      <c r="N21" s="75">
        <f>1324.65*2</f>
        <v>2649.3</v>
      </c>
      <c r="O21" s="39" t="s">
        <v>17</v>
      </c>
      <c r="P21" s="39" t="s">
        <v>15</v>
      </c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</row>
    <row r="22" spans="1:51" ht="15.75" thickBot="1" x14ac:dyDescent="0.3">
      <c r="A22" s="45">
        <v>12</v>
      </c>
      <c r="B22" s="74" t="s">
        <v>12</v>
      </c>
      <c r="C22" s="65" t="s">
        <v>31</v>
      </c>
      <c r="D22" s="65" t="s">
        <v>146</v>
      </c>
      <c r="E22" s="65">
        <v>17</v>
      </c>
      <c r="F22" s="5">
        <f>12864.5*2</f>
        <v>25729</v>
      </c>
      <c r="G22" s="5">
        <f>643*2</f>
        <v>1286</v>
      </c>
      <c r="H22" s="5">
        <f>428.5*2</f>
        <v>857</v>
      </c>
      <c r="I22" s="5">
        <v>0</v>
      </c>
      <c r="J22" s="5">
        <f>154.02*2</f>
        <v>308.04000000000002</v>
      </c>
      <c r="K22" s="5"/>
      <c r="L22" s="5"/>
      <c r="M22" s="5">
        <f>2417.65*2</f>
        <v>4835.3</v>
      </c>
      <c r="N22" s="75">
        <f>1497.13*2</f>
        <v>2994.26</v>
      </c>
      <c r="O22" s="39" t="s">
        <v>32</v>
      </c>
      <c r="P22" s="39" t="s">
        <v>15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</row>
    <row r="23" spans="1:51" ht="15.75" thickBot="1" x14ac:dyDescent="0.3">
      <c r="A23" s="45">
        <v>13</v>
      </c>
      <c r="B23" s="104" t="s">
        <v>18</v>
      </c>
      <c r="C23" s="65" t="s">
        <v>141</v>
      </c>
      <c r="D23" s="65" t="s">
        <v>145</v>
      </c>
      <c r="E23" s="65">
        <v>11</v>
      </c>
      <c r="F23" s="5">
        <f>7366.5*2</f>
        <v>14733</v>
      </c>
      <c r="G23" s="5">
        <f>546.5*2</f>
        <v>1093</v>
      </c>
      <c r="H23" s="46">
        <f>339.5*2</f>
        <v>679</v>
      </c>
      <c r="I23" s="46">
        <v>0</v>
      </c>
      <c r="J23" s="46">
        <v>0</v>
      </c>
      <c r="K23" s="46">
        <v>196.29</v>
      </c>
      <c r="L23" s="46">
        <v>30.64</v>
      </c>
      <c r="M23" s="5">
        <f>1124.56*2+30.64</f>
        <v>2279.7599999999998</v>
      </c>
      <c r="N23" s="75">
        <f>847.15*2</f>
        <v>1694.3</v>
      </c>
      <c r="O23" s="47" t="s">
        <v>136</v>
      </c>
      <c r="P23" s="39" t="s">
        <v>15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</row>
    <row r="24" spans="1:51" s="36" customFormat="1" ht="15.75" thickBot="1" x14ac:dyDescent="0.3">
      <c r="A24" s="45">
        <v>14</v>
      </c>
      <c r="B24" s="78" t="s">
        <v>18</v>
      </c>
      <c r="C24" s="65" t="s">
        <v>33</v>
      </c>
      <c r="D24" s="65" t="s">
        <v>145</v>
      </c>
      <c r="E24" s="65">
        <v>9</v>
      </c>
      <c r="F24" s="5">
        <f>6843.5</f>
        <v>6843.5</v>
      </c>
      <c r="G24" s="5">
        <f>478.5</f>
        <v>478.5</v>
      </c>
      <c r="H24" s="5">
        <f>330.5</f>
        <v>330.5</v>
      </c>
      <c r="I24" s="5">
        <v>0</v>
      </c>
      <c r="J24" s="5">
        <f>256.7</f>
        <v>256.7</v>
      </c>
      <c r="K24" s="5"/>
      <c r="L24" s="5"/>
      <c r="M24" s="5">
        <f>1051.23</f>
        <v>1051.23</v>
      </c>
      <c r="N24" s="75">
        <f>816.52</f>
        <v>816.52</v>
      </c>
      <c r="O24" s="39" t="s">
        <v>34</v>
      </c>
      <c r="P24" s="39" t="s">
        <v>15</v>
      </c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</row>
    <row r="25" spans="1:51" ht="15.75" thickBot="1" x14ac:dyDescent="0.3">
      <c r="A25" s="45">
        <v>15</v>
      </c>
      <c r="B25" s="76" t="s">
        <v>18</v>
      </c>
      <c r="C25" s="65" t="s">
        <v>35</v>
      </c>
      <c r="D25" s="65" t="s">
        <v>145</v>
      </c>
      <c r="E25" s="65">
        <v>11</v>
      </c>
      <c r="F25" s="5">
        <f>7366.5*2</f>
        <v>14733</v>
      </c>
      <c r="G25" s="5">
        <f>546.5*2</f>
        <v>1093</v>
      </c>
      <c r="H25" s="5">
        <f>339.5*2</f>
        <v>679</v>
      </c>
      <c r="I25" s="5">
        <v>0</v>
      </c>
      <c r="J25" s="5">
        <f>154.02*2</f>
        <v>308.04000000000002</v>
      </c>
      <c r="K25" s="5"/>
      <c r="L25" s="5"/>
      <c r="M25" s="5">
        <f>1157.46*2</f>
        <v>2314.92</v>
      </c>
      <c r="N25" s="75">
        <f>864.86*2</f>
        <v>1729.72</v>
      </c>
      <c r="O25" s="39" t="s">
        <v>26</v>
      </c>
      <c r="P25" s="39" t="s">
        <v>15</v>
      </c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</row>
    <row r="26" spans="1:51" s="36" customFormat="1" ht="15.75" thickBot="1" x14ac:dyDescent="0.3">
      <c r="A26" s="45">
        <v>16</v>
      </c>
      <c r="B26" s="76" t="s">
        <v>18</v>
      </c>
      <c r="C26" s="65" t="s">
        <v>36</v>
      </c>
      <c r="D26" s="65" t="s">
        <v>146</v>
      </c>
      <c r="E26" s="65">
        <v>11</v>
      </c>
      <c r="F26" s="5">
        <f>7366.5*2</f>
        <v>14733</v>
      </c>
      <c r="G26" s="5">
        <f>546.5*2</f>
        <v>1093</v>
      </c>
      <c r="H26" s="5">
        <f>339.5*2</f>
        <v>679</v>
      </c>
      <c r="I26" s="5">
        <v>0</v>
      </c>
      <c r="J26" s="5">
        <f>154.02*2</f>
        <v>308.04000000000002</v>
      </c>
      <c r="K26" s="5"/>
      <c r="L26" s="5"/>
      <c r="M26" s="5">
        <f>1157.46*2</f>
        <v>2314.92</v>
      </c>
      <c r="N26" s="75">
        <f>864.86*2</f>
        <v>1729.72</v>
      </c>
      <c r="O26" s="39" t="s">
        <v>20</v>
      </c>
      <c r="P26" s="39" t="s">
        <v>15</v>
      </c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</row>
    <row r="27" spans="1:51" s="36" customFormat="1" ht="15.75" thickBot="1" x14ac:dyDescent="0.3">
      <c r="A27" s="45">
        <v>17</v>
      </c>
      <c r="B27" s="76" t="s">
        <v>18</v>
      </c>
      <c r="C27" s="65" t="s">
        <v>37</v>
      </c>
      <c r="D27" s="65" t="s">
        <v>146</v>
      </c>
      <c r="E27" s="65">
        <v>11</v>
      </c>
      <c r="F27" s="5">
        <f>7366.5*2</f>
        <v>14733</v>
      </c>
      <c r="G27" s="5">
        <f>546.5*2</f>
        <v>1093</v>
      </c>
      <c r="H27" s="5">
        <f>339.5*2</f>
        <v>679</v>
      </c>
      <c r="I27" s="5">
        <v>0</v>
      </c>
      <c r="J27" s="5">
        <f>154.02*2</f>
        <v>308.04000000000002</v>
      </c>
      <c r="K27" s="5"/>
      <c r="L27" s="5"/>
      <c r="M27" s="5">
        <f>1157.46*2</f>
        <v>2314.92</v>
      </c>
      <c r="N27" s="75">
        <f>864.86*2</f>
        <v>1729.72</v>
      </c>
      <c r="O27" s="39" t="s">
        <v>23</v>
      </c>
      <c r="P27" s="39" t="s">
        <v>15</v>
      </c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</row>
    <row r="28" spans="1:51" ht="15.75" thickBot="1" x14ac:dyDescent="0.3">
      <c r="A28" s="45">
        <v>18</v>
      </c>
      <c r="B28" s="76" t="s">
        <v>18</v>
      </c>
      <c r="C28" s="65" t="s">
        <v>38</v>
      </c>
      <c r="D28" s="65" t="s">
        <v>146</v>
      </c>
      <c r="E28" s="65">
        <v>11</v>
      </c>
      <c r="F28" s="5">
        <f>7366.5*2</f>
        <v>14733</v>
      </c>
      <c r="G28" s="5">
        <f>546.5*2</f>
        <v>1093</v>
      </c>
      <c r="H28" s="5">
        <f>339.5*2</f>
        <v>679</v>
      </c>
      <c r="I28" s="5">
        <v>0</v>
      </c>
      <c r="J28" s="5">
        <f>154.02*2</f>
        <v>308.04000000000002</v>
      </c>
      <c r="K28" s="5"/>
      <c r="L28" s="5"/>
      <c r="M28" s="5">
        <f>1157.46*2</f>
        <v>2314.92</v>
      </c>
      <c r="N28" s="75">
        <f>864.86*2</f>
        <v>1729.72</v>
      </c>
      <c r="O28" s="39" t="s">
        <v>23</v>
      </c>
      <c r="P28" s="39" t="s">
        <v>15</v>
      </c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</row>
    <row r="29" spans="1:51" s="36" customFormat="1" ht="15.75" thickBot="1" x14ac:dyDescent="0.3">
      <c r="A29" s="45">
        <v>19</v>
      </c>
      <c r="B29" s="77" t="s">
        <v>12</v>
      </c>
      <c r="C29" s="65" t="s">
        <v>39</v>
      </c>
      <c r="D29" s="65" t="s">
        <v>145</v>
      </c>
      <c r="E29" s="65">
        <v>24</v>
      </c>
      <c r="F29" s="5">
        <f>27565.5*2</f>
        <v>55131</v>
      </c>
      <c r="G29" s="5">
        <f>1028.5*2</f>
        <v>2057</v>
      </c>
      <c r="H29" s="5">
        <f>728.5*2</f>
        <v>1457</v>
      </c>
      <c r="I29" s="5">
        <v>0</v>
      </c>
      <c r="J29" s="5">
        <f>102.68*2</f>
        <v>205.36</v>
      </c>
      <c r="K29" s="5"/>
      <c r="L29" s="5"/>
      <c r="M29" s="5">
        <f>6710.53*2</f>
        <v>13421.06</v>
      </c>
      <c r="N29" s="75">
        <f>3181.84*2</f>
        <v>6363.68</v>
      </c>
      <c r="O29" s="39" t="s">
        <v>126</v>
      </c>
      <c r="P29" s="39" t="s">
        <v>15</v>
      </c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</row>
    <row r="30" spans="1:51" s="36" customFormat="1" ht="15.75" thickBot="1" x14ac:dyDescent="0.3">
      <c r="A30" s="45">
        <v>20</v>
      </c>
      <c r="B30" s="74" t="s">
        <v>12</v>
      </c>
      <c r="C30" s="65" t="s">
        <v>40</v>
      </c>
      <c r="D30" s="65" t="s">
        <v>146</v>
      </c>
      <c r="E30" s="65">
        <v>26</v>
      </c>
      <c r="F30" s="5">
        <f>34722.5*2</f>
        <v>69445</v>
      </c>
      <c r="G30" s="5">
        <f>1272*2</f>
        <v>2544</v>
      </c>
      <c r="H30" s="5">
        <f>897*2</f>
        <v>1794</v>
      </c>
      <c r="I30" s="5">
        <v>0</v>
      </c>
      <c r="J30" s="5">
        <f>308.04*2</f>
        <v>616.08000000000004</v>
      </c>
      <c r="K30" s="5"/>
      <c r="L30" s="5"/>
      <c r="M30" s="5">
        <f>9067.52*2</f>
        <v>18135.04</v>
      </c>
      <c r="N30" s="75">
        <f>4028.51*2</f>
        <v>8057.02</v>
      </c>
      <c r="O30" s="39" t="s">
        <v>127</v>
      </c>
      <c r="P30" s="39" t="s">
        <v>15</v>
      </c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</row>
    <row r="31" spans="1:51" ht="15.75" thickBot="1" x14ac:dyDescent="0.3">
      <c r="A31" s="45">
        <v>21</v>
      </c>
      <c r="B31" s="74" t="s">
        <v>12</v>
      </c>
      <c r="C31" s="65" t="s">
        <v>41</v>
      </c>
      <c r="D31" s="65" t="s">
        <v>146</v>
      </c>
      <c r="E31" s="65">
        <v>16</v>
      </c>
      <c r="F31" s="5">
        <f>11416*2</f>
        <v>22832</v>
      </c>
      <c r="G31" s="5">
        <f>623.5*2</f>
        <v>1247</v>
      </c>
      <c r="H31" s="5">
        <f>389.5*2</f>
        <v>779</v>
      </c>
      <c r="I31" s="5">
        <v>0</v>
      </c>
      <c r="J31" s="5">
        <f>154.02*2</f>
        <v>308.04000000000002</v>
      </c>
      <c r="K31" s="5"/>
      <c r="L31" s="5"/>
      <c r="M31" s="5">
        <f>2063.19*2</f>
        <v>4126.38</v>
      </c>
      <c r="N31" s="75">
        <f>1330.55*2</f>
        <v>2661.1</v>
      </c>
      <c r="O31" s="39" t="s">
        <v>17</v>
      </c>
      <c r="P31" s="39" t="s">
        <v>15</v>
      </c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</row>
    <row r="32" spans="1:51" ht="15.75" thickBot="1" x14ac:dyDescent="0.3">
      <c r="A32" s="45">
        <v>22</v>
      </c>
      <c r="B32" s="76" t="s">
        <v>18</v>
      </c>
      <c r="C32" s="65" t="s">
        <v>152</v>
      </c>
      <c r="D32" s="65" t="s">
        <v>146</v>
      </c>
      <c r="E32" s="65">
        <v>11</v>
      </c>
      <c r="F32" s="5">
        <f>7366.5*2</f>
        <v>14733</v>
      </c>
      <c r="G32" s="5">
        <f>546.5*2</f>
        <v>1093</v>
      </c>
      <c r="H32" s="5">
        <f>339.5*2</f>
        <v>679</v>
      </c>
      <c r="I32" s="5">
        <v>0</v>
      </c>
      <c r="J32" s="5">
        <v>0</v>
      </c>
      <c r="K32" s="5"/>
      <c r="L32" s="5"/>
      <c r="M32" s="5">
        <f>3220.5-971.38</f>
        <v>2249.12</v>
      </c>
      <c r="N32" s="75">
        <f>847.15*2</f>
        <v>1694.3</v>
      </c>
      <c r="O32" s="39" t="s">
        <v>26</v>
      </c>
      <c r="P32" s="39" t="s">
        <v>15</v>
      </c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</row>
    <row r="33" spans="1:51" ht="15.75" thickBot="1" x14ac:dyDescent="0.3">
      <c r="A33" s="45">
        <v>23</v>
      </c>
      <c r="B33" s="74" t="s">
        <v>12</v>
      </c>
      <c r="C33" s="65" t="s">
        <v>42</v>
      </c>
      <c r="D33" s="65" t="s">
        <v>145</v>
      </c>
      <c r="E33" s="65">
        <v>17</v>
      </c>
      <c r="F33" s="5">
        <f>12864.5*2</f>
        <v>25729</v>
      </c>
      <c r="G33" s="5">
        <f>643*2</f>
        <v>1286</v>
      </c>
      <c r="H33" s="5">
        <f>428.5*2</f>
        <v>857</v>
      </c>
      <c r="I33" s="5">
        <v>0</v>
      </c>
      <c r="J33" s="5">
        <f>205.36*2</f>
        <v>410.72</v>
      </c>
      <c r="K33" s="5"/>
      <c r="L33" s="5"/>
      <c r="M33" s="5">
        <f>2429.72*2</f>
        <v>4859.4399999999996</v>
      </c>
      <c r="N33" s="75">
        <f>1503.03*2</f>
        <v>3006.06</v>
      </c>
      <c r="O33" s="39" t="s">
        <v>32</v>
      </c>
      <c r="P33" s="39" t="s">
        <v>15</v>
      </c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</row>
    <row r="34" spans="1:51" s="36" customFormat="1" ht="15.75" thickBot="1" x14ac:dyDescent="0.3">
      <c r="A34" s="45">
        <v>24</v>
      </c>
      <c r="B34" s="104" t="s">
        <v>12</v>
      </c>
      <c r="C34" s="65" t="s">
        <v>129</v>
      </c>
      <c r="D34" s="65" t="s">
        <v>146</v>
      </c>
      <c r="E34" s="105">
        <v>11</v>
      </c>
      <c r="F34" s="5">
        <f>7366.5*2</f>
        <v>14733</v>
      </c>
      <c r="G34" s="5">
        <f>546.5*2</f>
        <v>1093</v>
      </c>
      <c r="H34" s="5">
        <f>339.5*2</f>
        <v>679</v>
      </c>
      <c r="I34" s="5">
        <v>0</v>
      </c>
      <c r="J34" s="5">
        <v>0</v>
      </c>
      <c r="K34" s="5"/>
      <c r="L34" s="5"/>
      <c r="M34" s="5">
        <f>1124.56*2</f>
        <v>2249.12</v>
      </c>
      <c r="N34" s="75">
        <f>847.15*2</f>
        <v>1694.3</v>
      </c>
      <c r="O34" s="47" t="s">
        <v>130</v>
      </c>
      <c r="P34" s="39" t="s">
        <v>131</v>
      </c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</row>
    <row r="35" spans="1:51" ht="15.75" thickBot="1" x14ac:dyDescent="0.3">
      <c r="A35" s="45">
        <v>25</v>
      </c>
      <c r="B35" s="77" t="s">
        <v>12</v>
      </c>
      <c r="C35" s="65" t="s">
        <v>43</v>
      </c>
      <c r="D35" s="65" t="s">
        <v>145</v>
      </c>
      <c r="E35" s="65">
        <v>17</v>
      </c>
      <c r="F35" s="5">
        <f>12864.5*2</f>
        <v>25729</v>
      </c>
      <c r="G35" s="5">
        <f>643*2</f>
        <v>1286</v>
      </c>
      <c r="H35" s="5">
        <f>428.5*2</f>
        <v>857</v>
      </c>
      <c r="I35" s="5">
        <v>0</v>
      </c>
      <c r="J35" s="5">
        <f>154.02*2</f>
        <v>308.04000000000002</v>
      </c>
      <c r="K35" s="5"/>
      <c r="L35" s="5"/>
      <c r="M35" s="5">
        <f>2417.65*2</f>
        <v>4835.3</v>
      </c>
      <c r="N35" s="75">
        <f>1497.13*2</f>
        <v>2994.26</v>
      </c>
      <c r="O35" s="39" t="s">
        <v>32</v>
      </c>
      <c r="P35" s="39" t="s">
        <v>15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</row>
    <row r="36" spans="1:51" ht="15.75" thickBot="1" x14ac:dyDescent="0.3">
      <c r="A36" s="45">
        <v>26</v>
      </c>
      <c r="B36" s="74" t="s">
        <v>12</v>
      </c>
      <c r="C36" s="65" t="s">
        <v>44</v>
      </c>
      <c r="D36" s="65" t="s">
        <v>146</v>
      </c>
      <c r="E36" s="65">
        <v>22</v>
      </c>
      <c r="F36" s="5">
        <f>21140*2</f>
        <v>42280</v>
      </c>
      <c r="G36" s="5">
        <f>932.5*2</f>
        <v>1865</v>
      </c>
      <c r="H36" s="5">
        <f>672.5*2</f>
        <v>1345</v>
      </c>
      <c r="I36" s="5">
        <v>0</v>
      </c>
      <c r="J36" s="5">
        <f>154.02*2</f>
        <v>308.04000000000002</v>
      </c>
      <c r="K36" s="5"/>
      <c r="L36" s="5"/>
      <c r="M36" s="5">
        <f>4752.68*2</f>
        <v>9505.36</v>
      </c>
      <c r="N36" s="75">
        <f>2448.81*2</f>
        <v>4897.62</v>
      </c>
      <c r="O36" s="39" t="s">
        <v>45</v>
      </c>
      <c r="P36" s="39" t="s">
        <v>15</v>
      </c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</row>
    <row r="37" spans="1:51" ht="15.75" thickBot="1" x14ac:dyDescent="0.3">
      <c r="A37" s="45">
        <v>27</v>
      </c>
      <c r="B37" s="76" t="s">
        <v>18</v>
      </c>
      <c r="C37" s="65" t="s">
        <v>46</v>
      </c>
      <c r="D37" s="65" t="s">
        <v>146</v>
      </c>
      <c r="E37" s="65">
        <v>11</v>
      </c>
      <c r="F37" s="5">
        <f>7366.5*2</f>
        <v>14733</v>
      </c>
      <c r="G37" s="5">
        <f>546.5*2</f>
        <v>1093</v>
      </c>
      <c r="H37" s="5">
        <f>339.5*2</f>
        <v>679</v>
      </c>
      <c r="I37" s="5">
        <v>0</v>
      </c>
      <c r="J37" s="5">
        <f>102.68*2</f>
        <v>205.36</v>
      </c>
      <c r="K37" s="5"/>
      <c r="L37" s="5"/>
      <c r="M37" s="5">
        <f>1146.49*2</f>
        <v>2292.98</v>
      </c>
      <c r="N37" s="75">
        <f>847.15*2</f>
        <v>1694.3</v>
      </c>
      <c r="O37" s="39" t="s">
        <v>23</v>
      </c>
      <c r="P37" s="39" t="s">
        <v>15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</row>
    <row r="38" spans="1:51" s="36" customFormat="1" ht="15.75" thickBot="1" x14ac:dyDescent="0.3">
      <c r="A38" s="45">
        <v>28</v>
      </c>
      <c r="B38" s="76" t="s">
        <v>18</v>
      </c>
      <c r="C38" s="65" t="s">
        <v>47</v>
      </c>
      <c r="D38" s="65" t="s">
        <v>146</v>
      </c>
      <c r="E38" s="65">
        <v>11</v>
      </c>
      <c r="F38" s="5">
        <f>7366.5*2</f>
        <v>14733</v>
      </c>
      <c r="G38" s="5">
        <f>546.5*2</f>
        <v>1093</v>
      </c>
      <c r="H38" s="5">
        <f>339.5*2</f>
        <v>679</v>
      </c>
      <c r="I38" s="5">
        <v>0</v>
      </c>
      <c r="J38" s="5">
        <f>256.7*2</f>
        <v>513.4</v>
      </c>
      <c r="K38" s="5"/>
      <c r="L38" s="5"/>
      <c r="M38" s="5">
        <f>1179.38*2</f>
        <v>2358.7600000000002</v>
      </c>
      <c r="N38" s="75">
        <f>876.67*2</f>
        <v>1753.34</v>
      </c>
      <c r="O38" s="39" t="s">
        <v>23</v>
      </c>
      <c r="P38" s="39" t="s">
        <v>15</v>
      </c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</row>
    <row r="39" spans="1:51" ht="15.75" thickBot="1" x14ac:dyDescent="0.3">
      <c r="A39" s="45">
        <v>29</v>
      </c>
      <c r="B39" s="76" t="s">
        <v>12</v>
      </c>
      <c r="C39" s="65" t="s">
        <v>48</v>
      </c>
      <c r="D39" s="65" t="s">
        <v>146</v>
      </c>
      <c r="E39" s="65">
        <v>16</v>
      </c>
      <c r="F39" s="5">
        <f>11416*2</f>
        <v>22832</v>
      </c>
      <c r="G39" s="5">
        <f>623.5*2</f>
        <v>1247</v>
      </c>
      <c r="H39" s="5">
        <f>389.5*2</f>
        <v>779</v>
      </c>
      <c r="I39" s="5">
        <v>0</v>
      </c>
      <c r="J39" s="5">
        <f>205.36*2</f>
        <v>410.72</v>
      </c>
      <c r="K39" s="5"/>
      <c r="L39" s="5"/>
      <c r="M39" s="5">
        <f>2075.27*2</f>
        <v>4150.54</v>
      </c>
      <c r="N39" s="75">
        <f>1336.46*2</f>
        <v>2672.92</v>
      </c>
      <c r="O39" s="39" t="s">
        <v>17</v>
      </c>
      <c r="P39" s="39" t="s">
        <v>15</v>
      </c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</row>
    <row r="40" spans="1:51" s="36" customFormat="1" ht="15.75" thickBot="1" x14ac:dyDescent="0.3">
      <c r="A40" s="45">
        <v>30</v>
      </c>
      <c r="B40" s="104" t="s">
        <v>18</v>
      </c>
      <c r="C40" s="65" t="s">
        <v>132</v>
      </c>
      <c r="D40" s="65" t="s">
        <v>146</v>
      </c>
      <c r="E40" s="65">
        <v>8</v>
      </c>
      <c r="F40" s="5">
        <f>6503*2</f>
        <v>13006</v>
      </c>
      <c r="G40" s="46">
        <f>470.5*2</f>
        <v>941</v>
      </c>
      <c r="H40" s="46">
        <f>322.5*2</f>
        <v>645</v>
      </c>
      <c r="I40" s="46">
        <v>0</v>
      </c>
      <c r="J40" s="46">
        <v>0</v>
      </c>
      <c r="K40" s="46"/>
      <c r="L40" s="46"/>
      <c r="M40" s="5">
        <f>920.25*2</f>
        <v>1840.5</v>
      </c>
      <c r="N40" s="75">
        <f>747.85*2</f>
        <v>1495.7</v>
      </c>
      <c r="O40" s="47" t="s">
        <v>133</v>
      </c>
      <c r="P40" s="39" t="s">
        <v>15</v>
      </c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</row>
    <row r="41" spans="1:51" ht="15.75" thickBot="1" x14ac:dyDescent="0.3">
      <c r="A41" s="45">
        <v>31</v>
      </c>
      <c r="B41" s="76" t="s">
        <v>18</v>
      </c>
      <c r="C41" s="65" t="s">
        <v>49</v>
      </c>
      <c r="D41" s="65" t="s">
        <v>146</v>
      </c>
      <c r="E41" s="65">
        <v>11</v>
      </c>
      <c r="F41" s="5">
        <f>7366.5*2</f>
        <v>14733</v>
      </c>
      <c r="G41" s="5">
        <f>546.5*2</f>
        <v>1093</v>
      </c>
      <c r="H41" s="5">
        <f>339.5*2</f>
        <v>679</v>
      </c>
      <c r="I41" s="5">
        <v>0</v>
      </c>
      <c r="J41" s="5">
        <f>102.68*2</f>
        <v>205.36</v>
      </c>
      <c r="K41" s="5"/>
      <c r="L41" s="5"/>
      <c r="M41" s="5">
        <f>1146.49*2</f>
        <v>2292.98</v>
      </c>
      <c r="N41" s="75">
        <f>847.15*2</f>
        <v>1694.3</v>
      </c>
      <c r="O41" s="39" t="s">
        <v>20</v>
      </c>
      <c r="P41" s="39" t="s">
        <v>15</v>
      </c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</row>
    <row r="42" spans="1:51" ht="15.75" thickBot="1" x14ac:dyDescent="0.3">
      <c r="A42" s="45">
        <v>32</v>
      </c>
      <c r="B42" s="77" t="s">
        <v>12</v>
      </c>
      <c r="C42" s="106" t="s">
        <v>50</v>
      </c>
      <c r="D42" s="106" t="s">
        <v>146</v>
      </c>
      <c r="E42" s="106">
        <v>16</v>
      </c>
      <c r="F42" s="43">
        <f>11416*2</f>
        <v>22832</v>
      </c>
      <c r="G42" s="43">
        <f>623.5*2</f>
        <v>1247</v>
      </c>
      <c r="H42" s="43">
        <f>389.5*2</f>
        <v>779</v>
      </c>
      <c r="I42" s="43">
        <v>0</v>
      </c>
      <c r="J42" s="43">
        <f>308.04*2</f>
        <v>616.08000000000004</v>
      </c>
      <c r="K42" s="43"/>
      <c r="L42" s="43"/>
      <c r="M42" s="43">
        <f>2099.42*2</f>
        <v>4198.84</v>
      </c>
      <c r="N42" s="107">
        <f>1348.26*2</f>
        <v>2696.52</v>
      </c>
      <c r="O42" s="48" t="s">
        <v>17</v>
      </c>
      <c r="P42" s="48" t="s">
        <v>15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</row>
    <row r="43" spans="1:51" s="37" customFormat="1" ht="15.75" thickBot="1" x14ac:dyDescent="0.3">
      <c r="A43" s="45">
        <v>33</v>
      </c>
      <c r="B43" s="74" t="s">
        <v>12</v>
      </c>
      <c r="C43" s="106" t="s">
        <v>51</v>
      </c>
      <c r="D43" s="106" t="s">
        <v>146</v>
      </c>
      <c r="E43" s="106">
        <v>16</v>
      </c>
      <c r="F43" s="43">
        <f>11416*2</f>
        <v>22832</v>
      </c>
      <c r="G43" s="43">
        <f>623.5*2</f>
        <v>1247</v>
      </c>
      <c r="H43" s="43">
        <f>389.5*2</f>
        <v>779</v>
      </c>
      <c r="I43" s="43">
        <v>0</v>
      </c>
      <c r="J43" s="43">
        <f>102.68*2</f>
        <v>205.36</v>
      </c>
      <c r="K43" s="43"/>
      <c r="L43" s="43"/>
      <c r="M43" s="43">
        <f>2051.12*2</f>
        <v>4102.24</v>
      </c>
      <c r="N43" s="107">
        <f>1312.84*2</f>
        <v>2625.68</v>
      </c>
      <c r="O43" s="48" t="s">
        <v>17</v>
      </c>
      <c r="P43" s="48" t="s">
        <v>15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</row>
    <row r="44" spans="1:51" ht="15.75" thickBot="1" x14ac:dyDescent="0.3">
      <c r="A44" s="45">
        <v>34</v>
      </c>
      <c r="B44" s="76" t="s">
        <v>18</v>
      </c>
      <c r="C44" s="65" t="s">
        <v>52</v>
      </c>
      <c r="D44" s="65" t="s">
        <v>146</v>
      </c>
      <c r="E44" s="65">
        <v>11</v>
      </c>
      <c r="F44" s="5">
        <f>7366.5*2</f>
        <v>14733</v>
      </c>
      <c r="G44" s="5">
        <f>546.5*2</f>
        <v>1093</v>
      </c>
      <c r="H44" s="5">
        <f>339.5*2</f>
        <v>679</v>
      </c>
      <c r="I44" s="5">
        <v>0</v>
      </c>
      <c r="J44" s="5">
        <f>154.02*2</f>
        <v>308.04000000000002</v>
      </c>
      <c r="K44" s="5"/>
      <c r="L44" s="5"/>
      <c r="M44" s="5">
        <f>1157.46*2</f>
        <v>2314.92</v>
      </c>
      <c r="N44" s="75">
        <f>864.86*2</f>
        <v>1729.72</v>
      </c>
      <c r="O44" s="39" t="s">
        <v>23</v>
      </c>
      <c r="P44" s="39" t="s">
        <v>15</v>
      </c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</row>
    <row r="45" spans="1:51" ht="15.75" thickBot="1" x14ac:dyDescent="0.3">
      <c r="A45" s="45">
        <v>35</v>
      </c>
      <c r="B45" s="76" t="s">
        <v>18</v>
      </c>
      <c r="C45" s="65" t="s">
        <v>53</v>
      </c>
      <c r="D45" s="65" t="s">
        <v>146</v>
      </c>
      <c r="E45" s="65">
        <v>11</v>
      </c>
      <c r="F45" s="5">
        <f>7366.5*2</f>
        <v>14733</v>
      </c>
      <c r="G45" s="5">
        <f>546.5*2</f>
        <v>1093</v>
      </c>
      <c r="H45" s="5">
        <f>339.5*2</f>
        <v>679</v>
      </c>
      <c r="I45" s="5">
        <v>0</v>
      </c>
      <c r="J45" s="5">
        <f>154.02*2</f>
        <v>308.04000000000002</v>
      </c>
      <c r="K45" s="5"/>
      <c r="L45" s="5"/>
      <c r="M45" s="5">
        <f>1157.46*2</f>
        <v>2314.92</v>
      </c>
      <c r="N45" s="75">
        <f>864.86*2</f>
        <v>1729.72</v>
      </c>
      <c r="O45" s="39" t="s">
        <v>23</v>
      </c>
      <c r="P45" s="39" t="s">
        <v>15</v>
      </c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</row>
    <row r="46" spans="1:51" ht="15.75" thickBot="1" x14ac:dyDescent="0.3">
      <c r="A46" s="45">
        <v>36</v>
      </c>
      <c r="B46" s="76" t="s">
        <v>18</v>
      </c>
      <c r="C46" s="65" t="s">
        <v>54</v>
      </c>
      <c r="D46" s="65" t="s">
        <v>145</v>
      </c>
      <c r="E46" s="65">
        <v>11</v>
      </c>
      <c r="F46" s="5">
        <f>7366.5*2</f>
        <v>14733</v>
      </c>
      <c r="G46" s="5">
        <f>546.5*2</f>
        <v>1093</v>
      </c>
      <c r="H46" s="5">
        <f>339.5*2</f>
        <v>679</v>
      </c>
      <c r="I46" s="5">
        <v>0</v>
      </c>
      <c r="J46" s="5">
        <v>0</v>
      </c>
      <c r="K46" s="5"/>
      <c r="L46" s="5"/>
      <c r="M46" s="5">
        <f>1124.56*2</f>
        <v>2249.12</v>
      </c>
      <c r="N46" s="75">
        <f>847.15*2</f>
        <v>1694.3</v>
      </c>
      <c r="O46" s="39" t="s">
        <v>23</v>
      </c>
      <c r="P46" s="39" t="s">
        <v>15</v>
      </c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</row>
    <row r="47" spans="1:51" ht="15.75" thickBot="1" x14ac:dyDescent="0.3">
      <c r="A47" s="45">
        <v>37</v>
      </c>
      <c r="B47" s="76" t="s">
        <v>12</v>
      </c>
      <c r="C47" s="65" t="s">
        <v>55</v>
      </c>
      <c r="D47" s="65" t="s">
        <v>145</v>
      </c>
      <c r="E47" s="65">
        <v>11</v>
      </c>
      <c r="F47" s="5">
        <f>7366.5*2</f>
        <v>14733</v>
      </c>
      <c r="G47" s="5">
        <f>546.5*2</f>
        <v>1093</v>
      </c>
      <c r="H47" s="5">
        <f>339.5*2</f>
        <v>679</v>
      </c>
      <c r="I47" s="5">
        <v>0</v>
      </c>
      <c r="J47" s="5">
        <v>0</v>
      </c>
      <c r="K47" s="5"/>
      <c r="L47" s="5"/>
      <c r="M47" s="5">
        <f>1124.56*2</f>
        <v>2249.12</v>
      </c>
      <c r="N47" s="75">
        <f>847.15*2</f>
        <v>1694.3</v>
      </c>
      <c r="O47" s="39" t="s">
        <v>23</v>
      </c>
      <c r="P47" s="39" t="s">
        <v>15</v>
      </c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</row>
    <row r="48" spans="1:51" ht="15.75" thickBot="1" x14ac:dyDescent="0.3">
      <c r="A48" s="45">
        <v>38</v>
      </c>
      <c r="B48" s="76" t="s">
        <v>18</v>
      </c>
      <c r="C48" s="65" t="s">
        <v>56</v>
      </c>
      <c r="D48" s="65" t="s">
        <v>146</v>
      </c>
      <c r="E48" s="65">
        <v>11</v>
      </c>
      <c r="F48" s="5">
        <f>7366.5*2</f>
        <v>14733</v>
      </c>
      <c r="G48" s="5">
        <f>546.5*2</f>
        <v>1093</v>
      </c>
      <c r="H48" s="5">
        <f>339.5*2</f>
        <v>679</v>
      </c>
      <c r="I48" s="5">
        <v>0</v>
      </c>
      <c r="J48" s="5">
        <f>308.04*2</f>
        <v>616.08000000000004</v>
      </c>
      <c r="K48" s="5"/>
      <c r="L48" s="5"/>
      <c r="M48" s="5">
        <f>1190.36*2</f>
        <v>2380.7199999999998</v>
      </c>
      <c r="N48" s="75">
        <f>882.57*2</f>
        <v>1765.14</v>
      </c>
      <c r="O48" s="39" t="s">
        <v>23</v>
      </c>
      <c r="P48" s="39" t="s">
        <v>15</v>
      </c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</row>
    <row r="49" spans="1:51" ht="15.75" thickBot="1" x14ac:dyDescent="0.3">
      <c r="A49" s="45">
        <v>39</v>
      </c>
      <c r="B49" s="78" t="s">
        <v>12</v>
      </c>
      <c r="C49" s="65" t="s">
        <v>57</v>
      </c>
      <c r="D49" s="65" t="s">
        <v>146</v>
      </c>
      <c r="E49" s="65">
        <v>17</v>
      </c>
      <c r="F49" s="5">
        <f>12864.5*2</f>
        <v>25729</v>
      </c>
      <c r="G49" s="5">
        <f>643*2</f>
        <v>1286</v>
      </c>
      <c r="H49" s="5">
        <f>428.5*2</f>
        <v>857</v>
      </c>
      <c r="I49" s="5">
        <v>0</v>
      </c>
      <c r="J49" s="5">
        <f>154.02*2</f>
        <v>308.04000000000002</v>
      </c>
      <c r="K49" s="5"/>
      <c r="L49" s="5"/>
      <c r="M49" s="5">
        <f>2417.65*2</f>
        <v>4835.3</v>
      </c>
      <c r="N49" s="75">
        <f>1497.13*2</f>
        <v>2994.26</v>
      </c>
      <c r="O49" s="39" t="s">
        <v>32</v>
      </c>
      <c r="P49" s="39" t="s">
        <v>15</v>
      </c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</row>
    <row r="50" spans="1:51" ht="15.75" thickBot="1" x14ac:dyDescent="0.3">
      <c r="A50" s="45">
        <v>40</v>
      </c>
      <c r="B50" s="78" t="s">
        <v>12</v>
      </c>
      <c r="C50" s="108" t="s">
        <v>147</v>
      </c>
      <c r="D50" s="109" t="s">
        <v>146</v>
      </c>
      <c r="E50" s="65">
        <v>17</v>
      </c>
      <c r="F50" s="5">
        <f>12864.5*2</f>
        <v>25729</v>
      </c>
      <c r="G50" s="5">
        <f>643*2</f>
        <v>1286</v>
      </c>
      <c r="H50" s="5">
        <f>428.5*2</f>
        <v>857</v>
      </c>
      <c r="I50" s="5">
        <v>0</v>
      </c>
      <c r="J50" s="5">
        <f>102.68*2</f>
        <v>205.36</v>
      </c>
      <c r="K50" s="5"/>
      <c r="L50" s="5"/>
      <c r="M50" s="5">
        <f>2405.57*2</f>
        <v>4811.1400000000003</v>
      </c>
      <c r="N50" s="75">
        <f>1491.23*2</f>
        <v>2982.46</v>
      </c>
      <c r="O50" s="39" t="s">
        <v>32</v>
      </c>
      <c r="P50" s="39" t="s">
        <v>15</v>
      </c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</row>
    <row r="51" spans="1:51" ht="15.75" thickBot="1" x14ac:dyDescent="0.3">
      <c r="A51" s="45">
        <v>41</v>
      </c>
      <c r="B51" s="76" t="s">
        <v>18</v>
      </c>
      <c r="C51" s="65" t="s">
        <v>58</v>
      </c>
      <c r="D51" s="65" t="s">
        <v>146</v>
      </c>
      <c r="E51" s="65">
        <v>11</v>
      </c>
      <c r="F51" s="5">
        <f>7366.5*2</f>
        <v>14733</v>
      </c>
      <c r="G51" s="5">
        <f>546.5*2</f>
        <v>1093</v>
      </c>
      <c r="H51" s="5">
        <f>339.5*2</f>
        <v>679</v>
      </c>
      <c r="I51" s="5">
        <v>0</v>
      </c>
      <c r="J51" s="5">
        <f>205.36*2</f>
        <v>410.72</v>
      </c>
      <c r="K51" s="5"/>
      <c r="L51" s="5"/>
      <c r="M51" s="5">
        <f>1168.42*2</f>
        <v>2336.84</v>
      </c>
      <c r="N51" s="75">
        <f>870.76*2</f>
        <v>1741.52</v>
      </c>
      <c r="O51" s="39" t="s">
        <v>23</v>
      </c>
      <c r="P51" s="39" t="s">
        <v>15</v>
      </c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</row>
    <row r="52" spans="1:51" ht="15.75" thickBot="1" x14ac:dyDescent="0.3">
      <c r="A52" s="45">
        <v>42</v>
      </c>
      <c r="B52" s="77" t="s">
        <v>12</v>
      </c>
      <c r="C52" s="65" t="s">
        <v>59</v>
      </c>
      <c r="D52" s="65" t="s">
        <v>145</v>
      </c>
      <c r="E52" s="65">
        <v>22</v>
      </c>
      <c r="F52" s="5">
        <f>21109.5*2</f>
        <v>42219</v>
      </c>
      <c r="G52" s="5">
        <f>932.5*2</f>
        <v>1865</v>
      </c>
      <c r="H52" s="5">
        <f>672.5*2</f>
        <v>1345</v>
      </c>
      <c r="I52" s="5">
        <v>0</v>
      </c>
      <c r="J52" s="5">
        <v>0</v>
      </c>
      <c r="K52" s="5"/>
      <c r="L52" s="5"/>
      <c r="M52" s="5">
        <f>4697.32*2</f>
        <v>9394.64</v>
      </c>
      <c r="N52" s="75">
        <f>2427.59*2</f>
        <v>4855.18</v>
      </c>
      <c r="O52" s="39" t="s">
        <v>45</v>
      </c>
      <c r="P52" s="39" t="s">
        <v>15</v>
      </c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</row>
    <row r="53" spans="1:51" ht="15.75" thickBot="1" x14ac:dyDescent="0.3">
      <c r="A53" s="45">
        <v>43</v>
      </c>
      <c r="B53" s="76" t="s">
        <v>18</v>
      </c>
      <c r="C53" s="65" t="s">
        <v>60</v>
      </c>
      <c r="D53" s="65" t="s">
        <v>145</v>
      </c>
      <c r="E53" s="65">
        <v>11</v>
      </c>
      <c r="F53" s="5">
        <f>7436.5*2</f>
        <v>14873</v>
      </c>
      <c r="G53" s="5">
        <f>546.5*2</f>
        <v>1093</v>
      </c>
      <c r="H53" s="5">
        <f>339.5*2</f>
        <v>679</v>
      </c>
      <c r="I53" s="5">
        <v>0</v>
      </c>
      <c r="J53" s="5">
        <f>154.02*2</f>
        <v>308.04000000000002</v>
      </c>
      <c r="K53" s="5"/>
      <c r="L53" s="5"/>
      <c r="M53" s="5">
        <f>1172.4*2</f>
        <v>2344.8000000000002</v>
      </c>
      <c r="N53" s="75">
        <f>872.91*2</f>
        <v>1745.82</v>
      </c>
      <c r="O53" s="39" t="s">
        <v>20</v>
      </c>
      <c r="P53" s="39" t="s">
        <v>15</v>
      </c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</row>
    <row r="54" spans="1:51" ht="15.75" thickBot="1" x14ac:dyDescent="0.3">
      <c r="A54" s="45">
        <v>44</v>
      </c>
      <c r="B54" s="76" t="s">
        <v>18</v>
      </c>
      <c r="C54" s="65" t="s">
        <v>61</v>
      </c>
      <c r="D54" s="65" t="s">
        <v>146</v>
      </c>
      <c r="E54" s="65">
        <v>11</v>
      </c>
      <c r="F54" s="5">
        <f>7366.5*2</f>
        <v>14733</v>
      </c>
      <c r="G54" s="5">
        <f>546.5*2</f>
        <v>1093</v>
      </c>
      <c r="H54" s="5">
        <f>339.5*2</f>
        <v>679</v>
      </c>
      <c r="I54" s="5">
        <v>0</v>
      </c>
      <c r="J54" s="5">
        <f>256.7*2</f>
        <v>513.4</v>
      </c>
      <c r="K54" s="5"/>
      <c r="L54" s="5"/>
      <c r="M54" s="5">
        <f>1179.38*2</f>
        <v>2358.7600000000002</v>
      </c>
      <c r="N54" s="75">
        <f>876.67*2</f>
        <v>1753.34</v>
      </c>
      <c r="O54" s="39" t="s">
        <v>23</v>
      </c>
      <c r="P54" s="39" t="s">
        <v>15</v>
      </c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</row>
    <row r="55" spans="1:51" ht="15.75" thickBot="1" x14ac:dyDescent="0.3">
      <c r="A55" s="45">
        <v>45</v>
      </c>
      <c r="B55" s="104" t="s">
        <v>18</v>
      </c>
      <c r="C55" s="65" t="s">
        <v>140</v>
      </c>
      <c r="D55" s="65" t="s">
        <v>145</v>
      </c>
      <c r="E55" s="65">
        <v>11</v>
      </c>
      <c r="F55" s="5">
        <f>7366.5*2</f>
        <v>14733</v>
      </c>
      <c r="G55" s="46">
        <f>546.5*2</f>
        <v>1093</v>
      </c>
      <c r="H55" s="46">
        <f>339.5*2</f>
        <v>679</v>
      </c>
      <c r="I55" s="46">
        <v>0</v>
      </c>
      <c r="J55" s="46">
        <v>0</v>
      </c>
      <c r="K55" s="46"/>
      <c r="L55" s="46"/>
      <c r="M55" s="5">
        <f>1124.56*2</f>
        <v>2249.12</v>
      </c>
      <c r="N55" s="75">
        <f>847.15*2</f>
        <v>1694.3</v>
      </c>
      <c r="O55" s="47" t="s">
        <v>136</v>
      </c>
      <c r="P55" s="39" t="s">
        <v>15</v>
      </c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51" ht="15.75" thickBot="1" x14ac:dyDescent="0.3">
      <c r="A56" s="45">
        <v>46</v>
      </c>
      <c r="B56" s="104" t="s">
        <v>18</v>
      </c>
      <c r="C56" s="65" t="s">
        <v>125</v>
      </c>
      <c r="D56" s="65" t="s">
        <v>145</v>
      </c>
      <c r="E56" s="65">
        <v>11</v>
      </c>
      <c r="F56" s="5">
        <f>7366.5*2</f>
        <v>14733</v>
      </c>
      <c r="G56" s="5">
        <f>546.5*2</f>
        <v>1093</v>
      </c>
      <c r="H56" s="5">
        <f>339.5*2</f>
        <v>679</v>
      </c>
      <c r="I56" s="5">
        <v>0</v>
      </c>
      <c r="J56" s="5">
        <v>0</v>
      </c>
      <c r="K56" s="5"/>
      <c r="L56" s="5"/>
      <c r="M56" s="5">
        <f>1124.56*2</f>
        <v>2249.12</v>
      </c>
      <c r="N56" s="75">
        <f>847.15*2</f>
        <v>1694.3</v>
      </c>
      <c r="O56" s="39" t="s">
        <v>20</v>
      </c>
      <c r="P56" s="39" t="s">
        <v>15</v>
      </c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51" ht="15.75" thickBot="1" x14ac:dyDescent="0.3">
      <c r="A57" s="45">
        <v>47</v>
      </c>
      <c r="B57" s="78" t="s">
        <v>12</v>
      </c>
      <c r="C57" s="65" t="s">
        <v>64</v>
      </c>
      <c r="D57" s="65" t="s">
        <v>145</v>
      </c>
      <c r="E57" s="65">
        <v>17</v>
      </c>
      <c r="F57" s="5">
        <f>12864.5*2</f>
        <v>25729</v>
      </c>
      <c r="G57" s="5">
        <f>643*2</f>
        <v>1286</v>
      </c>
      <c r="H57" s="5">
        <f>428.5*2</f>
        <v>857</v>
      </c>
      <c r="I57" s="5">
        <v>0</v>
      </c>
      <c r="J57" s="5">
        <f>154.02*2</f>
        <v>308.04000000000002</v>
      </c>
      <c r="K57" s="5"/>
      <c r="L57" s="5"/>
      <c r="M57" s="5">
        <f>2417.65*2</f>
        <v>4835.3</v>
      </c>
      <c r="N57" s="75">
        <f>1497.13*2</f>
        <v>2994.26</v>
      </c>
      <c r="O57" s="39" t="s">
        <v>32</v>
      </c>
      <c r="P57" s="39" t="s">
        <v>15</v>
      </c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51" ht="15.75" thickBot="1" x14ac:dyDescent="0.3">
      <c r="A58" s="45">
        <v>48</v>
      </c>
      <c r="B58" s="74" t="s">
        <v>12</v>
      </c>
      <c r="C58" s="65" t="s">
        <v>65</v>
      </c>
      <c r="D58" s="65" t="s">
        <v>146</v>
      </c>
      <c r="E58" s="65">
        <v>16</v>
      </c>
      <c r="F58" s="5">
        <f>11416*2</f>
        <v>22832</v>
      </c>
      <c r="G58" s="5">
        <f>623.5*2</f>
        <v>1247</v>
      </c>
      <c r="H58" s="5">
        <f>389.5*2</f>
        <v>779</v>
      </c>
      <c r="I58" s="5">
        <v>0</v>
      </c>
      <c r="J58" s="5">
        <f>154.02*2</f>
        <v>308.04000000000002</v>
      </c>
      <c r="K58" s="5"/>
      <c r="L58" s="5"/>
      <c r="M58" s="5">
        <f>2063.19*2</f>
        <v>4126.38</v>
      </c>
      <c r="N58" s="75">
        <f>1330.55*2</f>
        <v>2661.1</v>
      </c>
      <c r="O58" s="39" t="s">
        <v>17</v>
      </c>
      <c r="P58" s="39" t="s">
        <v>15</v>
      </c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51" ht="15.75" thickBot="1" x14ac:dyDescent="0.3">
      <c r="A59" s="45">
        <v>49</v>
      </c>
      <c r="B59" s="74" t="s">
        <v>12</v>
      </c>
      <c r="C59" s="65" t="s">
        <v>66</v>
      </c>
      <c r="D59" s="65" t="s">
        <v>145</v>
      </c>
      <c r="E59" s="65">
        <v>17</v>
      </c>
      <c r="F59" s="5">
        <f>12864.5*2</f>
        <v>25729</v>
      </c>
      <c r="G59" s="5">
        <f>643*2</f>
        <v>1286</v>
      </c>
      <c r="H59" s="5">
        <f>428.5*2</f>
        <v>857</v>
      </c>
      <c r="I59" s="5">
        <v>0</v>
      </c>
      <c r="J59" s="5">
        <f>154.02*2</f>
        <v>308.04000000000002</v>
      </c>
      <c r="K59" s="5"/>
      <c r="L59" s="5"/>
      <c r="M59" s="5">
        <f>2417.65*2</f>
        <v>4835.3</v>
      </c>
      <c r="N59" s="75">
        <f>1497.13*2</f>
        <v>2994.26</v>
      </c>
      <c r="O59" s="39" t="s">
        <v>32</v>
      </c>
      <c r="P59" s="39" t="s">
        <v>15</v>
      </c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51" ht="15.75" thickBot="1" x14ac:dyDescent="0.3">
      <c r="A60" s="45">
        <v>50</v>
      </c>
      <c r="B60" s="74" t="s">
        <v>12</v>
      </c>
      <c r="C60" s="65" t="s">
        <v>67</v>
      </c>
      <c r="D60" s="65" t="s">
        <v>146</v>
      </c>
      <c r="E60" s="65">
        <v>16</v>
      </c>
      <c r="F60" s="5">
        <f>8562*2</f>
        <v>17124</v>
      </c>
      <c r="G60" s="5">
        <f>549.5*2</f>
        <v>1099</v>
      </c>
      <c r="H60" s="5">
        <f>370.5*2</f>
        <v>741</v>
      </c>
      <c r="I60" s="5">
        <v>0</v>
      </c>
      <c r="J60" s="5">
        <f>154.02*2</f>
        <v>308.04000000000002</v>
      </c>
      <c r="K60" s="5"/>
      <c r="L60" s="5"/>
      <c r="M60" s="5">
        <f>1420.08*2</f>
        <v>2840.16</v>
      </c>
      <c r="N60" s="75">
        <f>1002.34*2</f>
        <v>2004.68</v>
      </c>
      <c r="O60" s="39" t="s">
        <v>17</v>
      </c>
      <c r="P60" s="39" t="s">
        <v>15</v>
      </c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51" ht="15.75" thickBot="1" x14ac:dyDescent="0.3">
      <c r="A61" s="45">
        <v>51</v>
      </c>
      <c r="B61" s="76" t="s">
        <v>12</v>
      </c>
      <c r="C61" s="65" t="s">
        <v>68</v>
      </c>
      <c r="D61" s="65" t="s">
        <v>146</v>
      </c>
      <c r="E61" s="65">
        <v>16</v>
      </c>
      <c r="F61" s="5">
        <f>11416*2</f>
        <v>22832</v>
      </c>
      <c r="G61" s="5">
        <f>623.5*2</f>
        <v>1247</v>
      </c>
      <c r="H61" s="5">
        <f>389.5*2</f>
        <v>779</v>
      </c>
      <c r="I61" s="5">
        <v>0</v>
      </c>
      <c r="J61" s="5">
        <f>308.04*2</f>
        <v>616.08000000000004</v>
      </c>
      <c r="K61" s="5"/>
      <c r="L61" s="5"/>
      <c r="M61" s="5">
        <f>2099.42*2</f>
        <v>4198.84</v>
      </c>
      <c r="N61" s="75">
        <f>1348.26*2</f>
        <v>2696.52</v>
      </c>
      <c r="O61" s="39" t="s">
        <v>17</v>
      </c>
      <c r="P61" s="39" t="s">
        <v>15</v>
      </c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</row>
    <row r="62" spans="1:51" ht="15.75" thickBot="1" x14ac:dyDescent="0.3">
      <c r="A62" s="45">
        <v>52</v>
      </c>
      <c r="B62" s="76" t="s">
        <v>18</v>
      </c>
      <c r="C62" s="65" t="s">
        <v>69</v>
      </c>
      <c r="D62" s="65" t="s">
        <v>146</v>
      </c>
      <c r="E62" s="65">
        <v>11</v>
      </c>
      <c r="F62" s="5">
        <f>7436.5*2</f>
        <v>14873</v>
      </c>
      <c r="G62" s="5">
        <f>546.5*2</f>
        <v>1093</v>
      </c>
      <c r="H62" s="5">
        <f>339.5*2</f>
        <v>679</v>
      </c>
      <c r="I62" s="5">
        <v>0</v>
      </c>
      <c r="J62" s="5">
        <f>154.02*2</f>
        <v>308.04000000000002</v>
      </c>
      <c r="K62" s="5"/>
      <c r="L62" s="5"/>
      <c r="M62" s="5">
        <f>1172.4*2</f>
        <v>2344.8000000000002</v>
      </c>
      <c r="N62" s="75">
        <f>872.91*2</f>
        <v>1745.82</v>
      </c>
      <c r="O62" s="39" t="s">
        <v>20</v>
      </c>
      <c r="P62" s="39" t="s">
        <v>15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</row>
    <row r="63" spans="1:51" ht="15.75" thickBot="1" x14ac:dyDescent="0.3">
      <c r="A63" s="45">
        <v>53</v>
      </c>
      <c r="B63" s="78" t="s">
        <v>12</v>
      </c>
      <c r="C63" s="65" t="s">
        <v>70</v>
      </c>
      <c r="D63" s="65" t="s">
        <v>146</v>
      </c>
      <c r="E63" s="65">
        <v>22</v>
      </c>
      <c r="F63" s="5">
        <f>21109.5*2</f>
        <v>42219</v>
      </c>
      <c r="G63" s="5">
        <f>932.5*2</f>
        <v>1865</v>
      </c>
      <c r="H63" s="5">
        <f>672.5*2</f>
        <v>1345</v>
      </c>
      <c r="I63" s="5">
        <v>0</v>
      </c>
      <c r="J63" s="5">
        <f>154.02*2</f>
        <v>308.04000000000002</v>
      </c>
      <c r="K63" s="5"/>
      <c r="L63" s="5"/>
      <c r="M63" s="5">
        <f>4743.53*2</f>
        <v>9487.06</v>
      </c>
      <c r="N63" s="75">
        <f>2445.3*2</f>
        <v>4890.6000000000004</v>
      </c>
      <c r="O63" s="39" t="s">
        <v>45</v>
      </c>
      <c r="P63" s="39" t="s">
        <v>15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</row>
    <row r="64" spans="1:51" ht="15.75" thickBot="1" x14ac:dyDescent="0.3">
      <c r="A64" s="45">
        <v>54</v>
      </c>
      <c r="B64" s="76" t="s">
        <v>18</v>
      </c>
      <c r="C64" s="65" t="s">
        <v>71</v>
      </c>
      <c r="D64" s="65" t="s">
        <v>146</v>
      </c>
      <c r="E64" s="65">
        <v>11</v>
      </c>
      <c r="F64" s="5">
        <f>7366.5*2</f>
        <v>14733</v>
      </c>
      <c r="G64" s="5">
        <f>546.5*2</f>
        <v>1093</v>
      </c>
      <c r="H64" s="5">
        <f>339.5*2</f>
        <v>679</v>
      </c>
      <c r="I64" s="5">
        <v>0</v>
      </c>
      <c r="J64" s="5">
        <f>102.68*2</f>
        <v>205.36</v>
      </c>
      <c r="K64" s="5"/>
      <c r="L64" s="5"/>
      <c r="M64" s="5">
        <f>1146.49*2</f>
        <v>2292.98</v>
      </c>
      <c r="N64" s="75">
        <f>847.15*2</f>
        <v>1694.3</v>
      </c>
      <c r="O64" s="39" t="s">
        <v>23</v>
      </c>
      <c r="P64" s="39" t="s">
        <v>15</v>
      </c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</row>
    <row r="65" spans="1:51" ht="15.75" thickBot="1" x14ac:dyDescent="0.3">
      <c r="A65" s="45">
        <v>55</v>
      </c>
      <c r="B65" s="76" t="s">
        <v>18</v>
      </c>
      <c r="C65" s="65" t="s">
        <v>73</v>
      </c>
      <c r="D65" s="65" t="s">
        <v>145</v>
      </c>
      <c r="E65" s="65">
        <v>11</v>
      </c>
      <c r="F65" s="5">
        <f>7366.5*2</f>
        <v>14733</v>
      </c>
      <c r="G65" s="5">
        <f>546.5*2</f>
        <v>1093</v>
      </c>
      <c r="H65" s="5">
        <f>339.5*2</f>
        <v>679</v>
      </c>
      <c r="I65" s="5">
        <v>0</v>
      </c>
      <c r="J65" s="5">
        <f>102.68*2</f>
        <v>205.36</v>
      </c>
      <c r="K65" s="5"/>
      <c r="L65" s="5"/>
      <c r="M65" s="5">
        <f>1146.49*2</f>
        <v>2292.98</v>
      </c>
      <c r="N65" s="75">
        <f>847.15*2</f>
        <v>1694.3</v>
      </c>
      <c r="O65" s="39" t="s">
        <v>26</v>
      </c>
      <c r="P65" s="39" t="s">
        <v>15</v>
      </c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</row>
    <row r="66" spans="1:51" ht="15.75" thickBot="1" x14ac:dyDescent="0.3">
      <c r="A66" s="45">
        <v>56</v>
      </c>
      <c r="B66" s="76" t="s">
        <v>12</v>
      </c>
      <c r="C66" s="65" t="s">
        <v>74</v>
      </c>
      <c r="D66" s="65" t="s">
        <v>146</v>
      </c>
      <c r="E66" s="65">
        <v>15</v>
      </c>
      <c r="F66" s="5">
        <f>10136*2</f>
        <v>20272</v>
      </c>
      <c r="G66" s="5">
        <f>603*2</f>
        <v>1206</v>
      </c>
      <c r="H66" s="5">
        <f>377.5*2</f>
        <v>755</v>
      </c>
      <c r="I66" s="5">
        <v>0</v>
      </c>
      <c r="J66" s="5">
        <f>205.36*2</f>
        <v>410.72</v>
      </c>
      <c r="K66" s="5"/>
      <c r="L66" s="5"/>
      <c r="M66" s="5">
        <f>1780.17*2</f>
        <v>3560.34</v>
      </c>
      <c r="N66" s="75">
        <f>1189.26*2</f>
        <v>2378.52</v>
      </c>
      <c r="O66" s="39" t="s">
        <v>139</v>
      </c>
      <c r="P66" s="39" t="s">
        <v>15</v>
      </c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</row>
    <row r="67" spans="1:51" ht="15.75" thickBot="1" x14ac:dyDescent="0.3">
      <c r="A67" s="45">
        <v>57</v>
      </c>
      <c r="B67" s="51" t="s">
        <v>12</v>
      </c>
      <c r="C67" s="65" t="s">
        <v>75</v>
      </c>
      <c r="D67" s="65" t="s">
        <v>146</v>
      </c>
      <c r="E67" s="65">
        <v>16</v>
      </c>
      <c r="F67" s="5">
        <f>11416*2</f>
        <v>22832</v>
      </c>
      <c r="G67" s="5">
        <f>623.5*2</f>
        <v>1247</v>
      </c>
      <c r="H67" s="5">
        <f>389.5*2</f>
        <v>779</v>
      </c>
      <c r="I67" s="5">
        <v>0</v>
      </c>
      <c r="J67" s="5">
        <f>102.68*2</f>
        <v>205.36</v>
      </c>
      <c r="K67" s="5"/>
      <c r="L67" s="5"/>
      <c r="M67" s="5">
        <f>2051.12*2</f>
        <v>4102.24</v>
      </c>
      <c r="N67" s="75">
        <f>1324.65*2</f>
        <v>2649.3</v>
      </c>
      <c r="O67" s="39" t="s">
        <v>17</v>
      </c>
      <c r="P67" s="39" t="s">
        <v>15</v>
      </c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</row>
    <row r="68" spans="1:51" ht="15.75" thickBot="1" x14ac:dyDescent="0.3">
      <c r="A68" s="45">
        <v>58</v>
      </c>
      <c r="B68" s="78" t="s">
        <v>12</v>
      </c>
      <c r="C68" s="65" t="s">
        <v>76</v>
      </c>
      <c r="D68" s="65" t="s">
        <v>146</v>
      </c>
      <c r="E68" s="65">
        <v>17</v>
      </c>
      <c r="F68" s="5">
        <f>12864.5*2</f>
        <v>25729</v>
      </c>
      <c r="G68" s="5">
        <f>643*2</f>
        <v>1286</v>
      </c>
      <c r="H68" s="5">
        <f>428.5*2</f>
        <v>857</v>
      </c>
      <c r="I68" s="5">
        <v>0</v>
      </c>
      <c r="J68" s="5">
        <f>205.36*2</f>
        <v>410.72</v>
      </c>
      <c r="K68" s="5"/>
      <c r="L68" s="5"/>
      <c r="M68" s="5">
        <f>2429.72*2</f>
        <v>4859.4399999999996</v>
      </c>
      <c r="N68" s="75">
        <f>1503.03*2</f>
        <v>3006.06</v>
      </c>
      <c r="O68" s="39" t="s">
        <v>32</v>
      </c>
      <c r="P68" s="39" t="s">
        <v>15</v>
      </c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</row>
    <row r="69" spans="1:51" s="36" customFormat="1" ht="15.75" thickBot="1" x14ac:dyDescent="0.3">
      <c r="A69" s="45">
        <v>59</v>
      </c>
      <c r="B69" s="74" t="s">
        <v>12</v>
      </c>
      <c r="C69" s="65" t="s">
        <v>77</v>
      </c>
      <c r="D69" s="65" t="s">
        <v>146</v>
      </c>
      <c r="E69" s="65">
        <v>17</v>
      </c>
      <c r="F69" s="5">
        <f>12864.5*2</f>
        <v>25729</v>
      </c>
      <c r="G69" s="5">
        <f>643*2</f>
        <v>1286</v>
      </c>
      <c r="H69" s="5">
        <f>428.5*2</f>
        <v>857</v>
      </c>
      <c r="I69" s="5">
        <v>0</v>
      </c>
      <c r="J69" s="5">
        <f>154.02*2</f>
        <v>308.04000000000002</v>
      </c>
      <c r="K69" s="5"/>
      <c r="L69" s="5"/>
      <c r="M69" s="5">
        <f>2417.65*2</f>
        <v>4835.3</v>
      </c>
      <c r="N69" s="75">
        <f>1497.13*2</f>
        <v>2994.26</v>
      </c>
      <c r="O69" s="39" t="s">
        <v>32</v>
      </c>
      <c r="P69" s="39" t="s">
        <v>15</v>
      </c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</row>
    <row r="70" spans="1:51" s="37" customFormat="1" ht="15.75" thickBot="1" x14ac:dyDescent="0.3">
      <c r="A70" s="45">
        <v>60</v>
      </c>
      <c r="B70" s="74" t="s">
        <v>12</v>
      </c>
      <c r="C70" s="108" t="s">
        <v>78</v>
      </c>
      <c r="D70" s="108" t="s">
        <v>146</v>
      </c>
      <c r="E70" s="106">
        <v>17</v>
      </c>
      <c r="F70" s="43">
        <f>12864.5*2</f>
        <v>25729</v>
      </c>
      <c r="G70" s="43">
        <f>643*2</f>
        <v>1286</v>
      </c>
      <c r="H70" s="43">
        <f>428.5*2</f>
        <v>857</v>
      </c>
      <c r="I70" s="43">
        <v>0</v>
      </c>
      <c r="J70" s="43">
        <f>205.36*2</f>
        <v>410.72</v>
      </c>
      <c r="K70" s="43"/>
      <c r="L70" s="43"/>
      <c r="M70" s="43">
        <f>2429.72*2</f>
        <v>4859.4399999999996</v>
      </c>
      <c r="N70" s="107">
        <f>1503.03*2</f>
        <v>3006.06</v>
      </c>
      <c r="O70" s="48" t="s">
        <v>63</v>
      </c>
      <c r="P70" s="48" t="s">
        <v>15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</row>
    <row r="71" spans="1:51" ht="15.75" thickBot="1" x14ac:dyDescent="0.3">
      <c r="A71" s="45">
        <v>61</v>
      </c>
      <c r="B71" s="76" t="s">
        <v>18</v>
      </c>
      <c r="C71" s="65" t="s">
        <v>79</v>
      </c>
      <c r="D71" s="65" t="s">
        <v>146</v>
      </c>
      <c r="E71" s="65">
        <v>11</v>
      </c>
      <c r="F71" s="5">
        <f>7366.5*2</f>
        <v>14733</v>
      </c>
      <c r="G71" s="5">
        <f>546.5*2</f>
        <v>1093</v>
      </c>
      <c r="H71" s="5">
        <f>339.5*2</f>
        <v>679</v>
      </c>
      <c r="I71" s="5">
        <v>0</v>
      </c>
      <c r="J71" s="5">
        <f>256.7*2</f>
        <v>513.4</v>
      </c>
      <c r="K71" s="5"/>
      <c r="L71" s="5"/>
      <c r="M71" s="5">
        <f>1179.38*2</f>
        <v>2358.7600000000002</v>
      </c>
      <c r="N71" s="75">
        <f>876.67*2</f>
        <v>1753.34</v>
      </c>
      <c r="O71" s="39" t="s">
        <v>26</v>
      </c>
      <c r="P71" s="39" t="s">
        <v>15</v>
      </c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</row>
    <row r="72" spans="1:51" ht="15.75" thickBot="1" x14ac:dyDescent="0.3">
      <c r="A72" s="45">
        <v>62</v>
      </c>
      <c r="B72" s="76" t="s">
        <v>18</v>
      </c>
      <c r="C72" s="65" t="s">
        <v>80</v>
      </c>
      <c r="D72" s="65" t="s">
        <v>146</v>
      </c>
      <c r="E72" s="65">
        <v>11</v>
      </c>
      <c r="F72" s="5">
        <f>7366.5*2</f>
        <v>14733</v>
      </c>
      <c r="G72" s="5">
        <f>546.5*2</f>
        <v>1093</v>
      </c>
      <c r="H72" s="5">
        <f>339.5*2</f>
        <v>679</v>
      </c>
      <c r="I72" s="5">
        <v>0</v>
      </c>
      <c r="J72" s="5">
        <f>102.68*2</f>
        <v>205.36</v>
      </c>
      <c r="K72" s="5"/>
      <c r="L72" s="5"/>
      <c r="M72" s="5">
        <f>1146.49*2</f>
        <v>2292.98</v>
      </c>
      <c r="N72" s="75">
        <f>858.96*2</f>
        <v>1717.92</v>
      </c>
      <c r="O72" s="39" t="s">
        <v>20</v>
      </c>
      <c r="P72" s="39" t="s">
        <v>15</v>
      </c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</row>
    <row r="73" spans="1:51" ht="15.75" thickBot="1" x14ac:dyDescent="0.3">
      <c r="A73" s="45">
        <v>63</v>
      </c>
      <c r="B73" s="76" t="s">
        <v>18</v>
      </c>
      <c r="C73" s="65" t="s">
        <v>81</v>
      </c>
      <c r="D73" s="65" t="s">
        <v>145</v>
      </c>
      <c r="E73" s="65">
        <v>11</v>
      </c>
      <c r="F73" s="5">
        <f>7436.5*2</f>
        <v>14873</v>
      </c>
      <c r="G73" s="5">
        <f>546.5*2</f>
        <v>1093</v>
      </c>
      <c r="H73" s="5">
        <f>339.5*2</f>
        <v>679</v>
      </c>
      <c r="I73" s="5">
        <v>0</v>
      </c>
      <c r="J73" s="5">
        <f>102.68*2</f>
        <v>205.36</v>
      </c>
      <c r="K73" s="5"/>
      <c r="L73" s="5"/>
      <c r="M73" s="5">
        <f>1161.44*2</f>
        <v>2322.88</v>
      </c>
      <c r="N73" s="75">
        <f>867.01*2</f>
        <v>1734.02</v>
      </c>
      <c r="O73" s="39" t="s">
        <v>82</v>
      </c>
      <c r="P73" s="39" t="s">
        <v>15</v>
      </c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</row>
    <row r="74" spans="1:51" ht="15.75" thickBot="1" x14ac:dyDescent="0.3">
      <c r="A74" s="45">
        <v>64</v>
      </c>
      <c r="B74" s="76" t="s">
        <v>18</v>
      </c>
      <c r="C74" s="65" t="s">
        <v>83</v>
      </c>
      <c r="D74" s="65" t="s">
        <v>146</v>
      </c>
      <c r="E74" s="65">
        <v>11</v>
      </c>
      <c r="F74" s="5">
        <f>7366.5*2</f>
        <v>14733</v>
      </c>
      <c r="G74" s="5">
        <f>546.5*2</f>
        <v>1093</v>
      </c>
      <c r="H74" s="5">
        <f>339.5*2</f>
        <v>679</v>
      </c>
      <c r="I74" s="5">
        <v>0</v>
      </c>
      <c r="J74" s="5">
        <f>102.68*2</f>
        <v>205.36</v>
      </c>
      <c r="K74" s="5"/>
      <c r="L74" s="5"/>
      <c r="M74" s="5">
        <f>1146.49*2</f>
        <v>2292.98</v>
      </c>
      <c r="N74" s="75">
        <f>847.15*2</f>
        <v>1694.3</v>
      </c>
      <c r="O74" s="39" t="s">
        <v>26</v>
      </c>
      <c r="P74" s="39" t="s">
        <v>15</v>
      </c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</row>
    <row r="75" spans="1:51" ht="15.75" thickBot="1" x14ac:dyDescent="0.3">
      <c r="A75" s="45">
        <v>65</v>
      </c>
      <c r="B75" s="77" t="s">
        <v>12</v>
      </c>
      <c r="C75" s="65" t="s">
        <v>84</v>
      </c>
      <c r="D75" s="65" t="s">
        <v>146</v>
      </c>
      <c r="E75" s="65">
        <v>16</v>
      </c>
      <c r="F75" s="5">
        <f>11416*2</f>
        <v>22832</v>
      </c>
      <c r="G75" s="5">
        <f>623.5*2</f>
        <v>1247</v>
      </c>
      <c r="H75" s="5">
        <f>389.5*2</f>
        <v>779</v>
      </c>
      <c r="I75" s="5">
        <v>0</v>
      </c>
      <c r="J75" s="5">
        <f>154.02*2</f>
        <v>308.04000000000002</v>
      </c>
      <c r="K75" s="5"/>
      <c r="L75" s="5"/>
      <c r="M75" s="5">
        <f>2063.19*2</f>
        <v>4126.38</v>
      </c>
      <c r="N75" s="75">
        <f>1330.55*2</f>
        <v>2661.1</v>
      </c>
      <c r="O75" s="39" t="s">
        <v>17</v>
      </c>
      <c r="P75" s="39" t="s">
        <v>15</v>
      </c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</row>
    <row r="76" spans="1:51" ht="15.75" thickBot="1" x14ac:dyDescent="0.3">
      <c r="A76" s="45">
        <v>66</v>
      </c>
      <c r="B76" s="74" t="s">
        <v>12</v>
      </c>
      <c r="C76" s="65" t="s">
        <v>85</v>
      </c>
      <c r="D76" s="65" t="s">
        <v>146</v>
      </c>
      <c r="E76" s="65">
        <v>17</v>
      </c>
      <c r="F76" s="5">
        <f>12864.5*2</f>
        <v>25729</v>
      </c>
      <c r="G76" s="5">
        <f>643*2</f>
        <v>1286</v>
      </c>
      <c r="H76" s="5">
        <f>428.5*2</f>
        <v>857</v>
      </c>
      <c r="I76" s="5">
        <v>0</v>
      </c>
      <c r="J76" s="5">
        <v>0</v>
      </c>
      <c r="K76" s="5"/>
      <c r="L76" s="5"/>
      <c r="M76" s="5">
        <f>2381.42*2</f>
        <v>4762.84</v>
      </c>
      <c r="N76" s="75">
        <f>1479.42*2</f>
        <v>2958.84</v>
      </c>
      <c r="O76" s="39" t="s">
        <v>32</v>
      </c>
      <c r="P76" s="39" t="s">
        <v>15</v>
      </c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</row>
    <row r="77" spans="1:51" ht="15.75" thickBot="1" x14ac:dyDescent="0.3">
      <c r="A77" s="45">
        <v>67</v>
      </c>
      <c r="B77" s="76" t="s">
        <v>18</v>
      </c>
      <c r="C77" s="65" t="s">
        <v>86</v>
      </c>
      <c r="D77" s="65" t="s">
        <v>146</v>
      </c>
      <c r="E77" s="65">
        <v>11</v>
      </c>
      <c r="F77" s="5">
        <f>7366.5*2</f>
        <v>14733</v>
      </c>
      <c r="G77" s="5">
        <f>546.5*2</f>
        <v>1093</v>
      </c>
      <c r="H77" s="5">
        <f>339.5*2</f>
        <v>679</v>
      </c>
      <c r="I77" s="5">
        <v>0</v>
      </c>
      <c r="J77" s="5">
        <f>102.68*2</f>
        <v>205.36</v>
      </c>
      <c r="K77" s="5"/>
      <c r="L77" s="5"/>
      <c r="M77" s="5">
        <f>1146.49*2</f>
        <v>2292.98</v>
      </c>
      <c r="N77" s="75">
        <f>858.96*2</f>
        <v>1717.92</v>
      </c>
      <c r="O77" s="39" t="s">
        <v>23</v>
      </c>
      <c r="P77" s="39" t="s">
        <v>15</v>
      </c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</row>
    <row r="78" spans="1:51" ht="15.75" thickBot="1" x14ac:dyDescent="0.3">
      <c r="A78" s="45">
        <v>68</v>
      </c>
      <c r="B78" s="77" t="s">
        <v>12</v>
      </c>
      <c r="C78" s="65" t="s">
        <v>87</v>
      </c>
      <c r="D78" s="65" t="s">
        <v>146</v>
      </c>
      <c r="E78" s="65">
        <v>16</v>
      </c>
      <c r="F78" s="5">
        <f>11416*2</f>
        <v>22832</v>
      </c>
      <c r="G78" s="5">
        <f>623.5*2</f>
        <v>1247</v>
      </c>
      <c r="H78" s="5">
        <f>389.5*2</f>
        <v>779</v>
      </c>
      <c r="I78" s="5">
        <v>0</v>
      </c>
      <c r="J78" s="5">
        <f>205.36*2</f>
        <v>410.72</v>
      </c>
      <c r="K78" s="5"/>
      <c r="L78" s="5"/>
      <c r="M78" s="5">
        <f>2075.27*2</f>
        <v>4150.54</v>
      </c>
      <c r="N78" s="75">
        <f>1336.46*2</f>
        <v>2672.92</v>
      </c>
      <c r="O78" s="39" t="s">
        <v>17</v>
      </c>
      <c r="P78" s="39" t="s">
        <v>15</v>
      </c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</row>
    <row r="79" spans="1:51" ht="15.75" thickBot="1" x14ac:dyDescent="0.3">
      <c r="A79" s="45">
        <v>69</v>
      </c>
      <c r="B79" s="76" t="s">
        <v>12</v>
      </c>
      <c r="C79" s="65" t="s">
        <v>88</v>
      </c>
      <c r="D79" s="65" t="s">
        <v>146</v>
      </c>
      <c r="E79" s="65">
        <v>17</v>
      </c>
      <c r="F79" s="5">
        <f>12864.5*2</f>
        <v>25729</v>
      </c>
      <c r="G79" s="5">
        <f>643*2</f>
        <v>1286</v>
      </c>
      <c r="H79" s="110">
        <f>428.5*2</f>
        <v>857</v>
      </c>
      <c r="I79" s="110">
        <v>0</v>
      </c>
      <c r="J79" s="110">
        <f>205.36*2</f>
        <v>410.72</v>
      </c>
      <c r="K79" s="110"/>
      <c r="L79" s="110"/>
      <c r="M79" s="110">
        <f>2429.72*2</f>
        <v>4859.4399999999996</v>
      </c>
      <c r="N79" s="111">
        <f>1503.03*2</f>
        <v>3006.06</v>
      </c>
      <c r="O79" s="112" t="s">
        <v>32</v>
      </c>
      <c r="P79" s="39" t="s">
        <v>15</v>
      </c>
      <c r="Q79" s="41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</row>
    <row r="80" spans="1:51" ht="15.75" thickBot="1" x14ac:dyDescent="0.3">
      <c r="A80" s="45">
        <v>70</v>
      </c>
      <c r="B80" s="78" t="s">
        <v>12</v>
      </c>
      <c r="C80" s="65" t="s">
        <v>89</v>
      </c>
      <c r="D80" s="65" t="s">
        <v>146</v>
      </c>
      <c r="E80" s="65">
        <v>16</v>
      </c>
      <c r="F80" s="5">
        <f>11416*2</f>
        <v>22832</v>
      </c>
      <c r="G80" s="5">
        <f>623.5*2</f>
        <v>1247</v>
      </c>
      <c r="H80" s="5">
        <f>389.5*2</f>
        <v>779</v>
      </c>
      <c r="I80" s="5">
        <v>0</v>
      </c>
      <c r="J80" s="5">
        <f>154.02*2</f>
        <v>308.04000000000002</v>
      </c>
      <c r="K80" s="5"/>
      <c r="L80" s="5"/>
      <c r="M80" s="5">
        <f>2063.19*2</f>
        <v>4126.38</v>
      </c>
      <c r="N80" s="75">
        <f>1330.55*2</f>
        <v>2661.1</v>
      </c>
      <c r="O80" s="39" t="s">
        <v>17</v>
      </c>
      <c r="P80" s="39" t="s">
        <v>15</v>
      </c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</row>
    <row r="81" spans="1:51" ht="15.75" thickBot="1" x14ac:dyDescent="0.3">
      <c r="A81" s="45">
        <v>71</v>
      </c>
      <c r="B81" s="76" t="s">
        <v>18</v>
      </c>
      <c r="C81" s="65" t="s">
        <v>90</v>
      </c>
      <c r="D81" s="65" t="s">
        <v>146</v>
      </c>
      <c r="E81" s="65">
        <v>11</v>
      </c>
      <c r="F81" s="5">
        <f>7366.5*2</f>
        <v>14733</v>
      </c>
      <c r="G81" s="5">
        <f>546.5*2</f>
        <v>1093</v>
      </c>
      <c r="H81" s="5">
        <f>339.5*2</f>
        <v>679</v>
      </c>
      <c r="I81" s="5">
        <v>0</v>
      </c>
      <c r="J81" s="5">
        <f>256.7*2</f>
        <v>513.4</v>
      </c>
      <c r="K81" s="5"/>
      <c r="L81" s="5"/>
      <c r="M81" s="5">
        <f>1179.38*2</f>
        <v>2358.7600000000002</v>
      </c>
      <c r="N81" s="75">
        <f>876.67*2</f>
        <v>1753.34</v>
      </c>
      <c r="O81" s="39" t="s">
        <v>26</v>
      </c>
      <c r="P81" s="39" t="s">
        <v>15</v>
      </c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</row>
    <row r="82" spans="1:51" s="36" customFormat="1" ht="15.75" thickBot="1" x14ac:dyDescent="0.3">
      <c r="A82" s="45">
        <v>72</v>
      </c>
      <c r="B82" s="76" t="s">
        <v>18</v>
      </c>
      <c r="C82" s="65" t="s">
        <v>91</v>
      </c>
      <c r="D82" s="65" t="s">
        <v>146</v>
      </c>
      <c r="E82" s="65">
        <v>11</v>
      </c>
      <c r="F82" s="5">
        <f>7366.5*2</f>
        <v>14733</v>
      </c>
      <c r="G82" s="5">
        <f>546.5*2</f>
        <v>1093</v>
      </c>
      <c r="H82" s="5">
        <f>339.5*2</f>
        <v>679</v>
      </c>
      <c r="I82" s="5">
        <v>0</v>
      </c>
      <c r="J82" s="5">
        <f>102.68*2</f>
        <v>205.36</v>
      </c>
      <c r="K82" s="5"/>
      <c r="L82" s="5"/>
      <c r="M82" s="5">
        <f>1146.49*2</f>
        <v>2292.98</v>
      </c>
      <c r="N82" s="75">
        <f>847.15*2</f>
        <v>1694.3</v>
      </c>
      <c r="O82" s="39" t="s">
        <v>23</v>
      </c>
      <c r="P82" s="39" t="s">
        <v>15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</row>
    <row r="83" spans="1:51" ht="15.75" thickBot="1" x14ac:dyDescent="0.3">
      <c r="A83" s="45">
        <v>73</v>
      </c>
      <c r="B83" s="76" t="s">
        <v>18</v>
      </c>
      <c r="C83" s="65" t="s">
        <v>92</v>
      </c>
      <c r="D83" s="65" t="s">
        <v>146</v>
      </c>
      <c r="E83" s="65">
        <v>11</v>
      </c>
      <c r="F83" s="5">
        <f>7366.5*2</f>
        <v>14733</v>
      </c>
      <c r="G83" s="5">
        <f>546.5*2</f>
        <v>1093</v>
      </c>
      <c r="H83" s="5">
        <f>339.5*2</f>
        <v>679</v>
      </c>
      <c r="I83" s="5">
        <v>0</v>
      </c>
      <c r="J83" s="5">
        <f>154.02*2</f>
        <v>308.04000000000002</v>
      </c>
      <c r="K83" s="5"/>
      <c r="L83" s="5"/>
      <c r="M83" s="5">
        <f>1157.46*2</f>
        <v>2314.92</v>
      </c>
      <c r="N83" s="75">
        <f>864.86*2</f>
        <v>1729.72</v>
      </c>
      <c r="O83" s="39" t="s">
        <v>20</v>
      </c>
      <c r="P83" s="39" t="s">
        <v>15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</row>
    <row r="84" spans="1:51" ht="15.75" thickBot="1" x14ac:dyDescent="0.3">
      <c r="A84" s="45">
        <v>74</v>
      </c>
      <c r="B84" s="51" t="s">
        <v>12</v>
      </c>
      <c r="C84" s="65" t="s">
        <v>93</v>
      </c>
      <c r="D84" s="65" t="s">
        <v>146</v>
      </c>
      <c r="E84" s="65">
        <v>16</v>
      </c>
      <c r="F84" s="5">
        <f>11416*2</f>
        <v>22832</v>
      </c>
      <c r="G84" s="5">
        <f>623.5*2</f>
        <v>1247</v>
      </c>
      <c r="H84" s="5">
        <f>389.5*2</f>
        <v>779</v>
      </c>
      <c r="I84" s="5">
        <v>0</v>
      </c>
      <c r="J84" s="5">
        <f>154.02*2</f>
        <v>308.04000000000002</v>
      </c>
      <c r="K84" s="5"/>
      <c r="L84" s="5"/>
      <c r="M84" s="5">
        <f>2063.19*2</f>
        <v>4126.38</v>
      </c>
      <c r="N84" s="75">
        <f>1330.55*2</f>
        <v>2661.1</v>
      </c>
      <c r="O84" s="39" t="s">
        <v>17</v>
      </c>
      <c r="P84" s="39" t="s">
        <v>15</v>
      </c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</row>
    <row r="85" spans="1:51" ht="15.75" thickBot="1" x14ac:dyDescent="0.3">
      <c r="A85" s="45">
        <v>75</v>
      </c>
      <c r="B85" s="41" t="s">
        <v>12</v>
      </c>
      <c r="C85" s="65" t="s">
        <v>135</v>
      </c>
      <c r="D85" s="65" t="s">
        <v>146</v>
      </c>
      <c r="E85" s="65">
        <v>16</v>
      </c>
      <c r="F85" s="5">
        <f>11416*2</f>
        <v>22832</v>
      </c>
      <c r="G85" s="5">
        <f>623.5*2</f>
        <v>1247</v>
      </c>
      <c r="H85" s="46">
        <f>389.5*2</f>
        <v>779</v>
      </c>
      <c r="I85" s="46">
        <v>0</v>
      </c>
      <c r="J85" s="46">
        <v>0</v>
      </c>
      <c r="K85" s="46"/>
      <c r="L85" s="46"/>
      <c r="M85" s="5">
        <f>2026.97*2</f>
        <v>4053.94</v>
      </c>
      <c r="N85" s="75">
        <f>1312.84*2</f>
        <v>2625.68</v>
      </c>
      <c r="O85" s="47" t="s">
        <v>134</v>
      </c>
      <c r="P85" s="39" t="s">
        <v>15</v>
      </c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</row>
    <row r="86" spans="1:51" ht="15.75" thickBot="1" x14ac:dyDescent="0.3">
      <c r="A86" s="45">
        <v>76</v>
      </c>
      <c r="B86" s="74" t="s">
        <v>12</v>
      </c>
      <c r="C86" s="65" t="s">
        <v>94</v>
      </c>
      <c r="D86" s="65" t="s">
        <v>146</v>
      </c>
      <c r="E86" s="65">
        <v>17</v>
      </c>
      <c r="F86" s="5">
        <f>12864.5*2</f>
        <v>25729</v>
      </c>
      <c r="G86" s="5">
        <f>643*2</f>
        <v>1286</v>
      </c>
      <c r="H86" s="5">
        <f>428.5*2</f>
        <v>857</v>
      </c>
      <c r="I86" s="5">
        <v>0</v>
      </c>
      <c r="J86" s="5">
        <f>205.36*2</f>
        <v>410.72</v>
      </c>
      <c r="K86" s="5"/>
      <c r="L86" s="5"/>
      <c r="M86" s="5">
        <f>2429.72*2</f>
        <v>4859.4399999999996</v>
      </c>
      <c r="N86" s="75">
        <f>1503.03*2</f>
        <v>3006.06</v>
      </c>
      <c r="O86" s="39" t="s">
        <v>32</v>
      </c>
      <c r="P86" s="39" t="s">
        <v>15</v>
      </c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</row>
    <row r="87" spans="1:51" ht="15.75" thickBot="1" x14ac:dyDescent="0.3">
      <c r="A87" s="45">
        <v>77</v>
      </c>
      <c r="B87" s="76" t="s">
        <v>18</v>
      </c>
      <c r="C87" s="65" t="s">
        <v>95</v>
      </c>
      <c r="D87" s="65" t="s">
        <v>146</v>
      </c>
      <c r="E87" s="65">
        <v>11</v>
      </c>
      <c r="F87" s="5">
        <f>7366.5*2</f>
        <v>14733</v>
      </c>
      <c r="G87" s="5">
        <f>546.5*2</f>
        <v>1093</v>
      </c>
      <c r="H87" s="5">
        <f>339.5*2</f>
        <v>679</v>
      </c>
      <c r="I87" s="5">
        <v>0</v>
      </c>
      <c r="J87" s="5">
        <f>205.36*2</f>
        <v>410.72</v>
      </c>
      <c r="K87" s="5"/>
      <c r="L87" s="5"/>
      <c r="M87" s="5">
        <f>1168.42*2</f>
        <v>2336.84</v>
      </c>
      <c r="N87" s="75">
        <f>870.76*2</f>
        <v>1741.52</v>
      </c>
      <c r="O87" s="39" t="s">
        <v>23</v>
      </c>
      <c r="P87" s="39" t="s">
        <v>15</v>
      </c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</row>
    <row r="88" spans="1:51" ht="15.75" thickBot="1" x14ac:dyDescent="0.3">
      <c r="A88" s="45">
        <v>78</v>
      </c>
      <c r="B88" s="51" t="s">
        <v>18</v>
      </c>
      <c r="C88" s="65" t="s">
        <v>142</v>
      </c>
      <c r="D88" s="65" t="s">
        <v>146</v>
      </c>
      <c r="E88" s="65">
        <v>11</v>
      </c>
      <c r="F88" s="5">
        <f t="shared" ref="F88:F89" si="0">7366.5*2</f>
        <v>14733</v>
      </c>
      <c r="G88" s="5">
        <f t="shared" ref="G88:G89" si="1">546.5*2</f>
        <v>1093</v>
      </c>
      <c r="H88" s="5">
        <f t="shared" ref="H88:H89" si="2">339.5*2</f>
        <v>679</v>
      </c>
      <c r="I88" s="5">
        <v>0</v>
      </c>
      <c r="J88" s="5">
        <v>0</v>
      </c>
      <c r="K88" s="5"/>
      <c r="L88" s="5"/>
      <c r="M88" s="5">
        <f t="shared" ref="M88:M89" si="3">1168.42*2</f>
        <v>2336.84</v>
      </c>
      <c r="N88" s="75">
        <f t="shared" ref="N88:N89" si="4">870.76*2</f>
        <v>1741.52</v>
      </c>
      <c r="O88" s="39" t="s">
        <v>136</v>
      </c>
      <c r="P88" s="39" t="s">
        <v>15</v>
      </c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</row>
    <row r="89" spans="1:51" ht="15.75" thickBot="1" x14ac:dyDescent="0.3">
      <c r="A89" s="45">
        <v>79</v>
      </c>
      <c r="B89" s="51" t="s">
        <v>18</v>
      </c>
      <c r="C89" s="65" t="s">
        <v>142</v>
      </c>
      <c r="D89" s="65" t="s">
        <v>146</v>
      </c>
      <c r="E89" s="65">
        <v>11</v>
      </c>
      <c r="F89" s="5">
        <f t="shared" si="0"/>
        <v>14733</v>
      </c>
      <c r="G89" s="5">
        <f t="shared" si="1"/>
        <v>1093</v>
      </c>
      <c r="H89" s="5">
        <f t="shared" si="2"/>
        <v>679</v>
      </c>
      <c r="I89" s="5">
        <v>0</v>
      </c>
      <c r="J89" s="5">
        <v>0</v>
      </c>
      <c r="K89" s="5"/>
      <c r="L89" s="5"/>
      <c r="M89" s="5">
        <f t="shared" si="3"/>
        <v>2336.84</v>
      </c>
      <c r="N89" s="75">
        <f t="shared" si="4"/>
        <v>1741.52</v>
      </c>
      <c r="O89" s="39" t="s">
        <v>136</v>
      </c>
      <c r="P89" s="39" t="s">
        <v>15</v>
      </c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</row>
    <row r="90" spans="1:51" ht="15.75" thickBot="1" x14ac:dyDescent="0.3">
      <c r="A90" s="45">
        <v>80</v>
      </c>
      <c r="B90" s="76" t="s">
        <v>12</v>
      </c>
      <c r="C90" s="65" t="s">
        <v>96</v>
      </c>
      <c r="D90" s="65" t="s">
        <v>146</v>
      </c>
      <c r="E90" s="65">
        <v>17</v>
      </c>
      <c r="F90" s="5">
        <f>12864.5*2</f>
        <v>25729</v>
      </c>
      <c r="G90" s="5">
        <f>643*2</f>
        <v>1286</v>
      </c>
      <c r="H90" s="5">
        <f>428.5*2</f>
        <v>857</v>
      </c>
      <c r="I90" s="5">
        <v>0</v>
      </c>
      <c r="J90" s="5">
        <f>256.7*2</f>
        <v>513.4</v>
      </c>
      <c r="K90" s="5"/>
      <c r="L90" s="5"/>
      <c r="M90" s="5">
        <f>2441.8*2</f>
        <v>4883.6000000000004</v>
      </c>
      <c r="N90" s="75">
        <f>1508.94*2</f>
        <v>3017.88</v>
      </c>
      <c r="O90" s="39" t="s">
        <v>32</v>
      </c>
      <c r="P90" s="39" t="s">
        <v>15</v>
      </c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</row>
    <row r="91" spans="1:51" s="36" customFormat="1" ht="15.75" thickBot="1" x14ac:dyDescent="0.3">
      <c r="A91" s="45">
        <v>81</v>
      </c>
      <c r="B91" s="74" t="s">
        <v>18</v>
      </c>
      <c r="C91" s="65" t="s">
        <v>97</v>
      </c>
      <c r="D91" s="65" t="s">
        <v>146</v>
      </c>
      <c r="E91" s="65">
        <v>8</v>
      </c>
      <c r="F91" s="5">
        <f>6503*2</f>
        <v>13006</v>
      </c>
      <c r="G91" s="5">
        <f>470.5*2</f>
        <v>941</v>
      </c>
      <c r="H91" s="5">
        <f>322.5*2</f>
        <v>645</v>
      </c>
      <c r="I91" s="5">
        <v>0</v>
      </c>
      <c r="J91" s="5">
        <v>0</v>
      </c>
      <c r="K91" s="5"/>
      <c r="L91" s="5"/>
      <c r="M91" s="5">
        <f>920.25*2</f>
        <v>1840.5</v>
      </c>
      <c r="N91" s="75">
        <f>747.85*2</f>
        <v>1495.7</v>
      </c>
      <c r="O91" s="39" t="s">
        <v>72</v>
      </c>
      <c r="P91" s="39" t="s">
        <v>15</v>
      </c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</row>
    <row r="92" spans="1:51" ht="15.75" thickBot="1" x14ac:dyDescent="0.3">
      <c r="A92" s="45">
        <v>82</v>
      </c>
      <c r="B92" s="74" t="s">
        <v>12</v>
      </c>
      <c r="C92" s="65" t="s">
        <v>98</v>
      </c>
      <c r="D92" s="65" t="s">
        <v>146</v>
      </c>
      <c r="E92" s="65">
        <v>22</v>
      </c>
      <c r="F92" s="5">
        <f>21109.5*2</f>
        <v>42219</v>
      </c>
      <c r="G92" s="5">
        <f>932.5*2</f>
        <v>1865</v>
      </c>
      <c r="H92" s="5">
        <f>672.5*2</f>
        <v>1345</v>
      </c>
      <c r="I92" s="5">
        <v>0</v>
      </c>
      <c r="J92" s="5">
        <f>205.36*2</f>
        <v>410.72</v>
      </c>
      <c r="K92" s="5"/>
      <c r="L92" s="5"/>
      <c r="M92" s="5">
        <f>4758.93*2</f>
        <v>9517.86</v>
      </c>
      <c r="N92" s="75">
        <f>2451.21*2</f>
        <v>4902.42</v>
      </c>
      <c r="O92" s="39" t="s">
        <v>45</v>
      </c>
      <c r="P92" s="39" t="s">
        <v>15</v>
      </c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</row>
    <row r="93" spans="1:51" ht="15.75" thickBot="1" x14ac:dyDescent="0.3">
      <c r="A93" s="45">
        <v>83</v>
      </c>
      <c r="B93" s="76" t="s">
        <v>12</v>
      </c>
      <c r="C93" s="65" t="s">
        <v>99</v>
      </c>
      <c r="D93" s="65" t="s">
        <v>146</v>
      </c>
      <c r="E93" s="65">
        <v>16</v>
      </c>
      <c r="F93" s="5">
        <f>11416*2</f>
        <v>22832</v>
      </c>
      <c r="G93" s="5">
        <f>623.5*2</f>
        <v>1247</v>
      </c>
      <c r="H93" s="5">
        <f>389.5*2</f>
        <v>779</v>
      </c>
      <c r="I93" s="5">
        <v>0</v>
      </c>
      <c r="J93" s="5">
        <f>154.02*2</f>
        <v>308.04000000000002</v>
      </c>
      <c r="K93" s="5"/>
      <c r="L93" s="5"/>
      <c r="M93" s="5">
        <f>2063.19*2</f>
        <v>4126.38</v>
      </c>
      <c r="N93" s="75">
        <f>1330.55*2</f>
        <v>2661.1</v>
      </c>
      <c r="O93" s="39" t="s">
        <v>17</v>
      </c>
      <c r="P93" s="39" t="s">
        <v>15</v>
      </c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</row>
    <row r="94" spans="1:51" ht="15.75" thickBot="1" x14ac:dyDescent="0.3">
      <c r="A94" s="45">
        <v>84</v>
      </c>
      <c r="B94" s="77" t="s">
        <v>12</v>
      </c>
      <c r="C94" s="65" t="s">
        <v>100</v>
      </c>
      <c r="D94" s="65" t="s">
        <v>146</v>
      </c>
      <c r="E94" s="65">
        <v>17</v>
      </c>
      <c r="F94" s="5">
        <f>12864.5*2</f>
        <v>25729</v>
      </c>
      <c r="G94" s="5">
        <f>643*2</f>
        <v>1286</v>
      </c>
      <c r="H94" s="5">
        <f>428.5*2</f>
        <v>857</v>
      </c>
      <c r="I94" s="5">
        <v>0</v>
      </c>
      <c r="J94" s="5">
        <f>154.02*2</f>
        <v>308.04000000000002</v>
      </c>
      <c r="K94" s="5"/>
      <c r="L94" s="5"/>
      <c r="M94" s="5">
        <f>2417.65*2</f>
        <v>4835.3</v>
      </c>
      <c r="N94" s="75">
        <f>1497.13*2</f>
        <v>2994.26</v>
      </c>
      <c r="O94" s="39" t="s">
        <v>32</v>
      </c>
      <c r="P94" s="39" t="s">
        <v>15</v>
      </c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</row>
    <row r="95" spans="1:51" ht="15.75" thickBot="1" x14ac:dyDescent="0.3">
      <c r="A95" s="45">
        <v>85</v>
      </c>
      <c r="B95" s="76" t="s">
        <v>18</v>
      </c>
      <c r="C95" s="65" t="s">
        <v>101</v>
      </c>
      <c r="D95" s="65" t="s">
        <v>146</v>
      </c>
      <c r="E95" s="65">
        <v>11</v>
      </c>
      <c r="F95" s="5">
        <f>7366.5*2</f>
        <v>14733</v>
      </c>
      <c r="G95" s="5">
        <f>546.5*2</f>
        <v>1093</v>
      </c>
      <c r="H95" s="5">
        <f>339.5*2</f>
        <v>679</v>
      </c>
      <c r="I95" s="5">
        <v>0</v>
      </c>
      <c r="J95" s="5">
        <f>154.02*2</f>
        <v>308.04000000000002</v>
      </c>
      <c r="K95" s="5"/>
      <c r="L95" s="5"/>
      <c r="M95" s="5">
        <f>1157.46*2</f>
        <v>2314.92</v>
      </c>
      <c r="N95" s="75">
        <f>864.86*2</f>
        <v>1729.72</v>
      </c>
      <c r="O95" s="79" t="s">
        <v>26</v>
      </c>
      <c r="P95" s="39" t="s">
        <v>15</v>
      </c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</row>
    <row r="96" spans="1:51" ht="15.75" thickBot="1" x14ac:dyDescent="0.3">
      <c r="A96" s="45">
        <v>86</v>
      </c>
      <c r="B96" s="98" t="s">
        <v>12</v>
      </c>
      <c r="C96" s="65" t="s">
        <v>102</v>
      </c>
      <c r="D96" s="65" t="s">
        <v>145</v>
      </c>
      <c r="E96" s="65">
        <v>22</v>
      </c>
      <c r="F96" s="5">
        <f>21140*2</f>
        <v>42280</v>
      </c>
      <c r="G96" s="5">
        <f>932.5*2</f>
        <v>1865</v>
      </c>
      <c r="H96" s="50">
        <f>672.5*2</f>
        <v>1345</v>
      </c>
      <c r="I96" s="50">
        <v>0</v>
      </c>
      <c r="J96" s="50">
        <f>256.7*2</f>
        <v>513.4</v>
      </c>
      <c r="K96" s="50"/>
      <c r="L96" s="50"/>
      <c r="M96" s="50">
        <f>4783.48*2</f>
        <v>9566.9599999999991</v>
      </c>
      <c r="N96" s="99">
        <f>2460.62*2</f>
        <v>4921.24</v>
      </c>
      <c r="O96" s="49" t="s">
        <v>45</v>
      </c>
      <c r="P96" s="49" t="s">
        <v>15</v>
      </c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</row>
    <row r="97" spans="1:51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</row>
    <row r="98" spans="1:51" x14ac:dyDescent="0.25">
      <c r="A98" s="42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</row>
    <row r="105" spans="1:51" x14ac:dyDescent="0.2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</row>
    <row r="106" spans="1:51" x14ac:dyDescent="0.25">
      <c r="A106" s="38"/>
      <c r="B106" s="38"/>
      <c r="C106" s="41"/>
      <c r="D106" s="41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</row>
    <row r="107" spans="1:51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</row>
    <row r="108" spans="1:51" x14ac:dyDescent="0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</row>
    <row r="109" spans="1:51" x14ac:dyDescent="0.2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</row>
    <row r="110" spans="1:51" x14ac:dyDescent="0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</row>
    <row r="111" spans="1:51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</row>
    <row r="112" spans="1:51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</row>
    <row r="113" spans="1:51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</row>
    <row r="114" spans="1:51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</row>
    <row r="115" spans="1:51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</row>
    <row r="116" spans="1:51" x14ac:dyDescent="0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</row>
    <row r="117" spans="1:51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</row>
    <row r="118" spans="1:51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</row>
    <row r="119" spans="1:51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</row>
    <row r="120" spans="1:51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</row>
    <row r="121" spans="1:51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</row>
    <row r="122" spans="1:51" x14ac:dyDescent="0.2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</row>
    <row r="123" spans="1:51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</row>
    <row r="124" spans="1:51" x14ac:dyDescent="0.2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</row>
    <row r="125" spans="1:51" x14ac:dyDescent="0.2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</row>
    <row r="126" spans="1:51" x14ac:dyDescent="0.2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</row>
    <row r="127" spans="1:51" x14ac:dyDescent="0.2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</row>
    <row r="128" spans="1:51" x14ac:dyDescent="0.2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</row>
    <row r="129" spans="1:51" x14ac:dyDescent="0.2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</row>
    <row r="130" spans="1:51" x14ac:dyDescent="0.2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</row>
    <row r="131" spans="1:51" x14ac:dyDescent="0.2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</row>
    <row r="132" spans="1:51" x14ac:dyDescent="0.2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</row>
    <row r="133" spans="1:51" x14ac:dyDescent="0.2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</row>
    <row r="134" spans="1:51" x14ac:dyDescent="0.2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</row>
    <row r="135" spans="1:51" x14ac:dyDescent="0.2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</row>
    <row r="136" spans="1:51" x14ac:dyDescent="0.2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</row>
    <row r="137" spans="1:51" x14ac:dyDescent="0.2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</row>
    <row r="138" spans="1:51" x14ac:dyDescent="0.2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</row>
    <row r="139" spans="1:51" x14ac:dyDescent="0.2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</row>
    <row r="140" spans="1:51" x14ac:dyDescent="0.2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</row>
    <row r="141" spans="1:51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</row>
    <row r="142" spans="1:51" x14ac:dyDescent="0.2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</row>
    <row r="143" spans="1:51" x14ac:dyDescent="0.2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</row>
    <row r="144" spans="1:51" x14ac:dyDescent="0.2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</row>
    <row r="145" spans="1:51" x14ac:dyDescent="0.2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</row>
    <row r="146" spans="1:51" x14ac:dyDescent="0.2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</row>
    <row r="147" spans="1:51" x14ac:dyDescent="0.2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</row>
    <row r="148" spans="1:51" x14ac:dyDescent="0.2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</row>
    <row r="149" spans="1:51" x14ac:dyDescent="0.2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</row>
    <row r="150" spans="1:51" x14ac:dyDescent="0.2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</row>
    <row r="151" spans="1:51" x14ac:dyDescent="0.2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</row>
    <row r="152" spans="1:51" x14ac:dyDescent="0.2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</row>
    <row r="153" spans="1:51" x14ac:dyDescent="0.2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</row>
    <row r="154" spans="1:51" x14ac:dyDescent="0.2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</row>
    <row r="155" spans="1:51" x14ac:dyDescent="0.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</row>
    <row r="156" spans="1:51" x14ac:dyDescent="0.2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</row>
    <row r="157" spans="1:51" x14ac:dyDescent="0.2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</row>
    <row r="158" spans="1:51" x14ac:dyDescent="0.2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</row>
    <row r="159" spans="1:51" x14ac:dyDescent="0.2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</row>
    <row r="160" spans="1:51" x14ac:dyDescent="0.2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</row>
    <row r="161" spans="1:51" x14ac:dyDescent="0.2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</row>
    <row r="162" spans="1:51" x14ac:dyDescent="0.2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</row>
    <row r="163" spans="1:51" x14ac:dyDescent="0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</row>
    <row r="164" spans="1:51" x14ac:dyDescent="0.2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</row>
    <row r="165" spans="1:51" x14ac:dyDescent="0.2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</row>
    <row r="166" spans="1:51" x14ac:dyDescent="0.2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</row>
    <row r="167" spans="1:51" x14ac:dyDescent="0.2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</row>
    <row r="168" spans="1:51" x14ac:dyDescent="0.2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</row>
    <row r="169" spans="1:51" x14ac:dyDescent="0.2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</row>
    <row r="170" spans="1:51" x14ac:dyDescent="0.2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</row>
    <row r="171" spans="1:51" x14ac:dyDescent="0.2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</row>
    <row r="172" spans="1:51" x14ac:dyDescent="0.2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</row>
    <row r="173" spans="1:51" x14ac:dyDescent="0.2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</row>
    <row r="174" spans="1:51" x14ac:dyDescent="0.2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</row>
    <row r="175" spans="1:51" x14ac:dyDescent="0.2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</row>
    <row r="176" spans="1:51" x14ac:dyDescent="0.2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</row>
    <row r="177" spans="1:51" x14ac:dyDescent="0.2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</row>
    <row r="178" spans="1:51" x14ac:dyDescent="0.2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</row>
    <row r="179" spans="1:51" x14ac:dyDescent="0.2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</row>
    <row r="180" spans="1:51" x14ac:dyDescent="0.25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</row>
    <row r="181" spans="1:51" x14ac:dyDescent="0.25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</row>
    <row r="182" spans="1:51" x14ac:dyDescent="0.25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</row>
    <row r="183" spans="1:51" x14ac:dyDescent="0.25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</row>
    <row r="184" spans="1:51" x14ac:dyDescent="0.25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</row>
    <row r="185" spans="1:51" x14ac:dyDescent="0.25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</row>
    <row r="186" spans="1:51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</row>
    <row r="187" spans="1:51" x14ac:dyDescent="0.25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</row>
    <row r="188" spans="1:51" x14ac:dyDescent="0.25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</row>
    <row r="189" spans="1:51" x14ac:dyDescent="0.2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</row>
    <row r="190" spans="1:51" x14ac:dyDescent="0.2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</row>
    <row r="191" spans="1:51" x14ac:dyDescent="0.25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</row>
    <row r="192" spans="1:51" x14ac:dyDescent="0.25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</row>
    <row r="193" spans="1:51" x14ac:dyDescent="0.25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</row>
    <row r="194" spans="1:51" x14ac:dyDescent="0.2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</row>
    <row r="195" spans="1:51" x14ac:dyDescent="0.25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</row>
    <row r="196" spans="1:51" x14ac:dyDescent="0.2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</row>
    <row r="197" spans="1:51" x14ac:dyDescent="0.25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</row>
    <row r="198" spans="1:51" x14ac:dyDescent="0.2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</row>
    <row r="199" spans="1:51" x14ac:dyDescent="0.25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</row>
    <row r="200" spans="1:51" x14ac:dyDescent="0.25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</row>
    <row r="201" spans="1:51" x14ac:dyDescent="0.25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</row>
    <row r="202" spans="1:51" x14ac:dyDescent="0.25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</row>
    <row r="203" spans="1:51" x14ac:dyDescent="0.25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</row>
    <row r="204" spans="1:51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</row>
    <row r="205" spans="1:51" x14ac:dyDescent="0.25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</row>
    <row r="206" spans="1:51" x14ac:dyDescent="0.2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</row>
    <row r="207" spans="1:51" x14ac:dyDescent="0.25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</row>
    <row r="208" spans="1:51" x14ac:dyDescent="0.25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</row>
    <row r="209" spans="1:51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</row>
    <row r="210" spans="1:51" x14ac:dyDescent="0.25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</row>
    <row r="211" spans="1:51" x14ac:dyDescent="0.25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</row>
    <row r="212" spans="1:51" x14ac:dyDescent="0.2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</row>
    <row r="213" spans="1:51" x14ac:dyDescent="0.25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</row>
    <row r="214" spans="1:51" x14ac:dyDescent="0.25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</row>
    <row r="215" spans="1:51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</row>
    <row r="216" spans="1:51" x14ac:dyDescent="0.25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</row>
    <row r="217" spans="1:51" x14ac:dyDescent="0.25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</row>
    <row r="218" spans="1:51" x14ac:dyDescent="0.25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</row>
    <row r="219" spans="1:51" x14ac:dyDescent="0.25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</row>
    <row r="220" spans="1:51" x14ac:dyDescent="0.25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</row>
    <row r="221" spans="1:51" x14ac:dyDescent="0.25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</row>
    <row r="222" spans="1:51" x14ac:dyDescent="0.25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</row>
    <row r="223" spans="1:51" x14ac:dyDescent="0.25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</row>
    <row r="224" spans="1:51" x14ac:dyDescent="0.25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</row>
    <row r="225" spans="1:51" x14ac:dyDescent="0.25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</row>
    <row r="226" spans="1:51" x14ac:dyDescent="0.25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</row>
    <row r="227" spans="1:51" x14ac:dyDescent="0.25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</row>
    <row r="228" spans="1:51" x14ac:dyDescent="0.25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</row>
    <row r="229" spans="1:51" x14ac:dyDescent="0.2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</row>
    <row r="230" spans="1:51" x14ac:dyDescent="0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</row>
    <row r="231" spans="1:51" x14ac:dyDescent="0.2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</row>
    <row r="232" spans="1:51" x14ac:dyDescent="0.2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</row>
    <row r="233" spans="1:51" x14ac:dyDescent="0.2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</row>
    <row r="234" spans="1:51" x14ac:dyDescent="0.2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</row>
    <row r="235" spans="1:51" x14ac:dyDescent="0.2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</row>
    <row r="236" spans="1:51" x14ac:dyDescent="0.2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</row>
    <row r="237" spans="1:51" x14ac:dyDescent="0.2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</row>
    <row r="238" spans="1:51" x14ac:dyDescent="0.2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</row>
    <row r="239" spans="1:51" x14ac:dyDescent="0.2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</row>
    <row r="240" spans="1:51" x14ac:dyDescent="0.2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</row>
    <row r="241" spans="1:51" x14ac:dyDescent="0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</row>
    <row r="242" spans="1:51" x14ac:dyDescent="0.2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</row>
    <row r="243" spans="1:51" x14ac:dyDescent="0.2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</row>
    <row r="244" spans="1:51" x14ac:dyDescent="0.2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</row>
    <row r="245" spans="1:51" x14ac:dyDescent="0.2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</row>
    <row r="246" spans="1:51" x14ac:dyDescent="0.2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</row>
    <row r="247" spans="1:51" x14ac:dyDescent="0.2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</row>
    <row r="248" spans="1:51" x14ac:dyDescent="0.2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</row>
    <row r="249" spans="1:51" x14ac:dyDescent="0.2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</row>
    <row r="250" spans="1:51" x14ac:dyDescent="0.2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</row>
    <row r="251" spans="1:51" x14ac:dyDescent="0.2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</row>
    <row r="252" spans="1:51" x14ac:dyDescent="0.2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</row>
    <row r="253" spans="1:51" x14ac:dyDescent="0.2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</row>
    <row r="254" spans="1:51" x14ac:dyDescent="0.2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</row>
    <row r="255" spans="1:51" x14ac:dyDescent="0.2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</row>
    <row r="256" spans="1:51" x14ac:dyDescent="0.2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</row>
    <row r="257" spans="1:51" x14ac:dyDescent="0.2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</row>
    <row r="258" spans="1:51" x14ac:dyDescent="0.2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</row>
    <row r="259" spans="1:51" x14ac:dyDescent="0.2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</row>
    <row r="260" spans="1:51" x14ac:dyDescent="0.2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</row>
    <row r="261" spans="1:51" x14ac:dyDescent="0.2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</row>
    <row r="262" spans="1:51" x14ac:dyDescent="0.2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</row>
    <row r="263" spans="1:51" x14ac:dyDescent="0.2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</row>
    <row r="264" spans="1:51" x14ac:dyDescent="0.2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</row>
    <row r="265" spans="1:51" x14ac:dyDescent="0.2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</row>
    <row r="266" spans="1:51" x14ac:dyDescent="0.2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</row>
    <row r="267" spans="1:51" x14ac:dyDescent="0.2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</row>
    <row r="268" spans="1:51" x14ac:dyDescent="0.2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</row>
    <row r="269" spans="1:51" x14ac:dyDescent="0.2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</row>
    <row r="270" spans="1:51" x14ac:dyDescent="0.2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</row>
    <row r="271" spans="1:51" x14ac:dyDescent="0.2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</row>
    <row r="272" spans="1:51" x14ac:dyDescent="0.2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</row>
    <row r="273" spans="1:51" x14ac:dyDescent="0.2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</row>
    <row r="274" spans="1:51" x14ac:dyDescent="0.2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</row>
    <row r="275" spans="1:51" x14ac:dyDescent="0.2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</row>
    <row r="276" spans="1:51" x14ac:dyDescent="0.2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</row>
    <row r="277" spans="1:51" x14ac:dyDescent="0.2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</row>
    <row r="278" spans="1:51" x14ac:dyDescent="0.2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</row>
    <row r="279" spans="1:51" x14ac:dyDescent="0.2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</row>
    <row r="280" spans="1:51" x14ac:dyDescent="0.2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</row>
    <row r="281" spans="1:51" x14ac:dyDescent="0.2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</row>
    <row r="282" spans="1:51" x14ac:dyDescent="0.2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</row>
    <row r="283" spans="1:51" x14ac:dyDescent="0.2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</row>
    <row r="284" spans="1:51" x14ac:dyDescent="0.2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</row>
    <row r="285" spans="1:51" x14ac:dyDescent="0.2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</row>
    <row r="286" spans="1:51" x14ac:dyDescent="0.2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</row>
    <row r="287" spans="1:51" x14ac:dyDescent="0.2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</row>
    <row r="288" spans="1:51" x14ac:dyDescent="0.2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</row>
    <row r="289" spans="1:51" x14ac:dyDescent="0.2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</row>
    <row r="290" spans="1:51" x14ac:dyDescent="0.2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</row>
    <row r="291" spans="1:51" x14ac:dyDescent="0.2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</row>
    <row r="292" spans="1:51" x14ac:dyDescent="0.2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</row>
    <row r="293" spans="1:51" x14ac:dyDescent="0.2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</row>
    <row r="294" spans="1:51" x14ac:dyDescent="0.2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</row>
    <row r="295" spans="1:51" x14ac:dyDescent="0.2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</row>
    <row r="296" spans="1:51" x14ac:dyDescent="0.2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</row>
    <row r="297" spans="1:51" x14ac:dyDescent="0.2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</row>
    <row r="298" spans="1:51" x14ac:dyDescent="0.2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</row>
    <row r="299" spans="1:51" x14ac:dyDescent="0.2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</row>
    <row r="300" spans="1:51" x14ac:dyDescent="0.2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</row>
    <row r="301" spans="1:51" x14ac:dyDescent="0.2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</row>
    <row r="302" spans="1:51" x14ac:dyDescent="0.2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</row>
    <row r="303" spans="1:51" x14ac:dyDescent="0.2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</row>
    <row r="304" spans="1:51" x14ac:dyDescent="0.2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</row>
    <row r="305" spans="1:51" x14ac:dyDescent="0.2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</row>
    <row r="306" spans="1:51" x14ac:dyDescent="0.2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</row>
    <row r="307" spans="1:51" x14ac:dyDescent="0.2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</row>
    <row r="308" spans="1:51" x14ac:dyDescent="0.2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</row>
    <row r="309" spans="1:51" x14ac:dyDescent="0.2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</row>
    <row r="310" spans="1:51" x14ac:dyDescent="0.2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</row>
    <row r="311" spans="1:51" x14ac:dyDescent="0.2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</row>
    <row r="312" spans="1:51" x14ac:dyDescent="0.2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</row>
    <row r="313" spans="1:51" x14ac:dyDescent="0.2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</row>
    <row r="314" spans="1:51" x14ac:dyDescent="0.2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</row>
    <row r="315" spans="1:51" x14ac:dyDescent="0.2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</row>
    <row r="316" spans="1:51" x14ac:dyDescent="0.2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</row>
    <row r="317" spans="1:51" x14ac:dyDescent="0.2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</row>
    <row r="318" spans="1:51" x14ac:dyDescent="0.2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</row>
    <row r="319" spans="1:51" x14ac:dyDescent="0.2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</row>
    <row r="320" spans="1:51" x14ac:dyDescent="0.2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</row>
    <row r="321" spans="1:51" x14ac:dyDescent="0.2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</row>
    <row r="322" spans="1:51" x14ac:dyDescent="0.2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</row>
    <row r="323" spans="1:51" x14ac:dyDescent="0.2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</row>
    <row r="324" spans="1:51" x14ac:dyDescent="0.2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</row>
    <row r="325" spans="1:51" x14ac:dyDescent="0.2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</row>
    <row r="326" spans="1:51" x14ac:dyDescent="0.2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</row>
    <row r="327" spans="1:51" x14ac:dyDescent="0.2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</row>
    <row r="328" spans="1:51" x14ac:dyDescent="0.2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</row>
    <row r="329" spans="1:51" x14ac:dyDescent="0.2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</row>
    <row r="330" spans="1:51" x14ac:dyDescent="0.2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</row>
    <row r="331" spans="1:51" x14ac:dyDescent="0.2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</row>
    <row r="332" spans="1:51" x14ac:dyDescent="0.2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</row>
    <row r="333" spans="1:51" x14ac:dyDescent="0.2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</row>
    <row r="334" spans="1:51" x14ac:dyDescent="0.2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</row>
    <row r="335" spans="1:51" x14ac:dyDescent="0.2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</row>
    <row r="336" spans="1:51" x14ac:dyDescent="0.2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</row>
    <row r="337" spans="1:51" x14ac:dyDescent="0.2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</row>
    <row r="338" spans="1:51" x14ac:dyDescent="0.2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</row>
    <row r="339" spans="1:51" x14ac:dyDescent="0.2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</row>
    <row r="340" spans="1:51" x14ac:dyDescent="0.2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</row>
    <row r="341" spans="1:51" x14ac:dyDescent="0.2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</row>
    <row r="342" spans="1:51" x14ac:dyDescent="0.2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</row>
    <row r="343" spans="1:51" x14ac:dyDescent="0.2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</row>
    <row r="344" spans="1:51" x14ac:dyDescent="0.2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</row>
    <row r="345" spans="1:51" x14ac:dyDescent="0.2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</row>
    <row r="346" spans="1:51" x14ac:dyDescent="0.2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</row>
    <row r="347" spans="1:51" x14ac:dyDescent="0.2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</row>
    <row r="348" spans="1:51" x14ac:dyDescent="0.2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</row>
    <row r="349" spans="1:51" x14ac:dyDescent="0.2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</row>
    <row r="350" spans="1:51" x14ac:dyDescent="0.2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</row>
    <row r="351" spans="1:51" x14ac:dyDescent="0.2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</row>
    <row r="352" spans="1:51" x14ac:dyDescent="0.2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</row>
    <row r="353" spans="1:51" x14ac:dyDescent="0.2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</row>
    <row r="354" spans="1:51" x14ac:dyDescent="0.2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</row>
    <row r="355" spans="1:51" x14ac:dyDescent="0.2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</row>
    <row r="356" spans="1:51" x14ac:dyDescent="0.2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</row>
    <row r="357" spans="1:51" x14ac:dyDescent="0.2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</row>
    <row r="358" spans="1:51" x14ac:dyDescent="0.2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</row>
    <row r="359" spans="1:51" x14ac:dyDescent="0.2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</row>
    <row r="360" spans="1:51" x14ac:dyDescent="0.2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</row>
    <row r="361" spans="1:51" x14ac:dyDescent="0.2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</row>
    <row r="362" spans="1:51" x14ac:dyDescent="0.2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</row>
    <row r="363" spans="1:51" x14ac:dyDescent="0.2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</row>
    <row r="364" spans="1:51" x14ac:dyDescent="0.2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</row>
    <row r="365" spans="1:51" x14ac:dyDescent="0.2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</row>
    <row r="366" spans="1:51" x14ac:dyDescent="0.2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</row>
    <row r="367" spans="1:51" x14ac:dyDescent="0.2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</row>
    <row r="368" spans="1:51" x14ac:dyDescent="0.2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</row>
    <row r="369" spans="1:51" x14ac:dyDescent="0.2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</row>
    <row r="370" spans="1:51" x14ac:dyDescent="0.2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</row>
    <row r="371" spans="1:51" x14ac:dyDescent="0.2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</row>
    <row r="372" spans="1:51" x14ac:dyDescent="0.2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</row>
    <row r="373" spans="1:51" x14ac:dyDescent="0.2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</row>
    <row r="374" spans="1:51" x14ac:dyDescent="0.2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</row>
    <row r="375" spans="1:51" x14ac:dyDescent="0.2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</row>
    <row r="376" spans="1:51" x14ac:dyDescent="0.2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</row>
    <row r="377" spans="1:51" x14ac:dyDescent="0.2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</row>
    <row r="378" spans="1:51" x14ac:dyDescent="0.2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</row>
    <row r="379" spans="1:51" x14ac:dyDescent="0.2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</row>
    <row r="380" spans="1:51" x14ac:dyDescent="0.2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</row>
    <row r="381" spans="1:51" x14ac:dyDescent="0.2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</row>
    <row r="382" spans="1:51" x14ac:dyDescent="0.2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</row>
    <row r="383" spans="1:51" x14ac:dyDescent="0.2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</row>
    <row r="384" spans="1:51" x14ac:dyDescent="0.2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</row>
    <row r="385" spans="1:51" x14ac:dyDescent="0.2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</row>
    <row r="386" spans="1:51" x14ac:dyDescent="0.2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</row>
    <row r="387" spans="1:51" x14ac:dyDescent="0.2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</row>
    <row r="388" spans="1:51" x14ac:dyDescent="0.2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</row>
    <row r="389" spans="1:51" x14ac:dyDescent="0.2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</row>
    <row r="390" spans="1:51" x14ac:dyDescent="0.2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</row>
    <row r="391" spans="1:51" x14ac:dyDescent="0.2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</row>
    <row r="392" spans="1:51" x14ac:dyDescent="0.2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</row>
    <row r="393" spans="1:51" x14ac:dyDescent="0.2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</row>
    <row r="394" spans="1:51" x14ac:dyDescent="0.2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</row>
    <row r="395" spans="1:51" x14ac:dyDescent="0.2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</row>
    <row r="396" spans="1:51" x14ac:dyDescent="0.2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</row>
    <row r="397" spans="1:51" x14ac:dyDescent="0.2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</row>
    <row r="398" spans="1:51" x14ac:dyDescent="0.2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</row>
    <row r="399" spans="1:51" x14ac:dyDescent="0.2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</row>
    <row r="400" spans="1:51" x14ac:dyDescent="0.2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</row>
    <row r="401" spans="1:51" x14ac:dyDescent="0.25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</row>
    <row r="402" spans="1:51" x14ac:dyDescent="0.25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</row>
    <row r="403" spans="1:51" x14ac:dyDescent="0.25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</row>
    <row r="404" spans="1:51" x14ac:dyDescent="0.25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</row>
    <row r="405" spans="1:51" x14ac:dyDescent="0.25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</row>
    <row r="406" spans="1:51" x14ac:dyDescent="0.25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</row>
    <row r="407" spans="1:51" x14ac:dyDescent="0.25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</row>
    <row r="408" spans="1:51" x14ac:dyDescent="0.25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</row>
    <row r="409" spans="1:51" x14ac:dyDescent="0.25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</row>
    <row r="410" spans="1:51" x14ac:dyDescent="0.25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</row>
    <row r="411" spans="1:51" x14ac:dyDescent="0.25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</row>
    <row r="412" spans="1:51" x14ac:dyDescent="0.2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</row>
    <row r="413" spans="1:51" x14ac:dyDescent="0.25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</row>
    <row r="414" spans="1:51" x14ac:dyDescent="0.25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</row>
    <row r="415" spans="1:51" x14ac:dyDescent="0.25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</row>
    <row r="416" spans="1:51" x14ac:dyDescent="0.25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</row>
    <row r="417" spans="1:51" x14ac:dyDescent="0.25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</row>
    <row r="418" spans="1:51" x14ac:dyDescent="0.25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</row>
    <row r="419" spans="1:51" x14ac:dyDescent="0.25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</row>
    <row r="420" spans="1:51" x14ac:dyDescent="0.25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</row>
    <row r="421" spans="1:51" x14ac:dyDescent="0.25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</row>
    <row r="422" spans="1:51" x14ac:dyDescent="0.25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</row>
    <row r="423" spans="1:51" x14ac:dyDescent="0.25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</row>
    <row r="424" spans="1:51" x14ac:dyDescent="0.25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</row>
    <row r="425" spans="1:51" x14ac:dyDescent="0.25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</row>
    <row r="426" spans="1:51" x14ac:dyDescent="0.25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</row>
    <row r="427" spans="1:51" x14ac:dyDescent="0.25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</row>
    <row r="428" spans="1:51" x14ac:dyDescent="0.25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</row>
    <row r="429" spans="1:51" x14ac:dyDescent="0.25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</row>
    <row r="430" spans="1:51" x14ac:dyDescent="0.25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</row>
    <row r="431" spans="1:51" x14ac:dyDescent="0.25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</row>
    <row r="432" spans="1:51" x14ac:dyDescent="0.25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</row>
    <row r="433" spans="1:51" x14ac:dyDescent="0.25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</row>
    <row r="434" spans="1:51" x14ac:dyDescent="0.25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</row>
    <row r="435" spans="1:51" x14ac:dyDescent="0.25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</row>
    <row r="436" spans="1:51" x14ac:dyDescent="0.25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</row>
    <row r="437" spans="1:51" x14ac:dyDescent="0.25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</row>
    <row r="438" spans="1:51" x14ac:dyDescent="0.25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</row>
    <row r="439" spans="1:51" x14ac:dyDescent="0.2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</row>
    <row r="440" spans="1:51" x14ac:dyDescent="0.25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</row>
    <row r="441" spans="1:51" x14ac:dyDescent="0.25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</row>
    <row r="442" spans="1:51" x14ac:dyDescent="0.25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</row>
    <row r="443" spans="1:51" x14ac:dyDescent="0.25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</row>
    <row r="444" spans="1:51" x14ac:dyDescent="0.25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</row>
    <row r="445" spans="1:51" x14ac:dyDescent="0.25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</row>
    <row r="446" spans="1:51" x14ac:dyDescent="0.25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</row>
    <row r="447" spans="1:51" x14ac:dyDescent="0.25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</row>
    <row r="448" spans="1:51" x14ac:dyDescent="0.25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</row>
    <row r="449" spans="1:51" x14ac:dyDescent="0.25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</row>
    <row r="450" spans="1:51" x14ac:dyDescent="0.25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</row>
    <row r="451" spans="1:51" x14ac:dyDescent="0.25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</row>
    <row r="452" spans="1:51" x14ac:dyDescent="0.25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</row>
    <row r="453" spans="1:51" x14ac:dyDescent="0.25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</row>
    <row r="454" spans="1:51" x14ac:dyDescent="0.25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</row>
    <row r="455" spans="1:51" x14ac:dyDescent="0.25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</row>
    <row r="456" spans="1:51" x14ac:dyDescent="0.25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</row>
    <row r="457" spans="1:51" x14ac:dyDescent="0.25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</row>
    <row r="458" spans="1:51" x14ac:dyDescent="0.25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</row>
    <row r="459" spans="1:51" x14ac:dyDescent="0.25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</row>
    <row r="460" spans="1:51" x14ac:dyDescent="0.25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</row>
    <row r="461" spans="1:51" x14ac:dyDescent="0.25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</row>
    <row r="462" spans="1:51" x14ac:dyDescent="0.25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</row>
    <row r="463" spans="1:51" x14ac:dyDescent="0.25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</row>
    <row r="464" spans="1:51" x14ac:dyDescent="0.25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</row>
    <row r="465" spans="1:51" x14ac:dyDescent="0.25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</row>
    <row r="466" spans="1:51" x14ac:dyDescent="0.2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</row>
    <row r="467" spans="1:51" x14ac:dyDescent="0.25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</row>
    <row r="468" spans="1:51" x14ac:dyDescent="0.25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</row>
    <row r="469" spans="1:51" x14ac:dyDescent="0.25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</row>
    <row r="470" spans="1:51" x14ac:dyDescent="0.25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</row>
    <row r="471" spans="1:51" x14ac:dyDescent="0.25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</row>
    <row r="472" spans="1:51" x14ac:dyDescent="0.25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</row>
    <row r="473" spans="1:51" x14ac:dyDescent="0.25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</row>
    <row r="474" spans="1:51" x14ac:dyDescent="0.25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</row>
    <row r="475" spans="1:51" x14ac:dyDescent="0.25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</row>
    <row r="476" spans="1:51" x14ac:dyDescent="0.25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</row>
    <row r="477" spans="1:51" x14ac:dyDescent="0.25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</row>
    <row r="478" spans="1:51" x14ac:dyDescent="0.25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</row>
    <row r="479" spans="1:51" x14ac:dyDescent="0.25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</row>
    <row r="480" spans="1:51" x14ac:dyDescent="0.25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</row>
    <row r="481" spans="1:51" x14ac:dyDescent="0.25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</row>
    <row r="482" spans="1:51" x14ac:dyDescent="0.25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</row>
    <row r="483" spans="1:51" x14ac:dyDescent="0.25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</row>
    <row r="484" spans="1:51" x14ac:dyDescent="0.25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</row>
    <row r="485" spans="1:51" x14ac:dyDescent="0.25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</row>
    <row r="486" spans="1:51" x14ac:dyDescent="0.25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</row>
    <row r="487" spans="1:51" x14ac:dyDescent="0.25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</row>
    <row r="488" spans="1:51" x14ac:dyDescent="0.25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</row>
    <row r="489" spans="1:51" x14ac:dyDescent="0.25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</row>
    <row r="490" spans="1:51" x14ac:dyDescent="0.25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</row>
    <row r="491" spans="1:51" x14ac:dyDescent="0.25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</row>
    <row r="492" spans="1:51" x14ac:dyDescent="0.25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</row>
    <row r="493" spans="1:51" x14ac:dyDescent="0.2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</row>
    <row r="494" spans="1:51" x14ac:dyDescent="0.25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</row>
    <row r="495" spans="1:51" x14ac:dyDescent="0.25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</row>
    <row r="496" spans="1:51" x14ac:dyDescent="0.25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</row>
    <row r="497" spans="1:51" x14ac:dyDescent="0.25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</row>
    <row r="498" spans="1:51" x14ac:dyDescent="0.25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</row>
    <row r="499" spans="1:51" x14ac:dyDescent="0.25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</row>
    <row r="500" spans="1:51" x14ac:dyDescent="0.25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</row>
    <row r="501" spans="1:51" x14ac:dyDescent="0.25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</row>
    <row r="502" spans="1:51" x14ac:dyDescent="0.25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</row>
    <row r="503" spans="1:51" x14ac:dyDescent="0.25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</row>
    <row r="504" spans="1:51" x14ac:dyDescent="0.25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</row>
    <row r="505" spans="1:51" x14ac:dyDescent="0.25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</row>
    <row r="506" spans="1:51" x14ac:dyDescent="0.25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</row>
    <row r="507" spans="1:51" x14ac:dyDescent="0.25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</row>
    <row r="508" spans="1:51" x14ac:dyDescent="0.25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</row>
    <row r="509" spans="1:51" x14ac:dyDescent="0.25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</row>
    <row r="510" spans="1:51" x14ac:dyDescent="0.25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</row>
    <row r="511" spans="1:51" x14ac:dyDescent="0.25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</row>
    <row r="512" spans="1:51" x14ac:dyDescent="0.25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</row>
    <row r="513" spans="1:51" x14ac:dyDescent="0.25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</row>
    <row r="514" spans="1:51" x14ac:dyDescent="0.25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</row>
    <row r="515" spans="1:51" x14ac:dyDescent="0.25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</row>
    <row r="516" spans="1:51" x14ac:dyDescent="0.25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</row>
    <row r="517" spans="1:51" x14ac:dyDescent="0.25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</row>
    <row r="518" spans="1:51" x14ac:dyDescent="0.25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</row>
    <row r="519" spans="1:51" x14ac:dyDescent="0.25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</row>
    <row r="520" spans="1:51" x14ac:dyDescent="0.2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</row>
    <row r="521" spans="1:51" x14ac:dyDescent="0.25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</row>
    <row r="522" spans="1:51" x14ac:dyDescent="0.25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</row>
    <row r="523" spans="1:51" x14ac:dyDescent="0.25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</row>
    <row r="524" spans="1:51" x14ac:dyDescent="0.25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</row>
    <row r="525" spans="1:51" x14ac:dyDescent="0.25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</row>
    <row r="526" spans="1:51" x14ac:dyDescent="0.25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</row>
    <row r="527" spans="1:51" x14ac:dyDescent="0.25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</row>
    <row r="528" spans="1:51" x14ac:dyDescent="0.25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</row>
    <row r="529" spans="1:51" x14ac:dyDescent="0.25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</row>
    <row r="530" spans="1:51" x14ac:dyDescent="0.25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</row>
    <row r="531" spans="1:51" x14ac:dyDescent="0.25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</row>
    <row r="532" spans="1:51" x14ac:dyDescent="0.25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</row>
    <row r="533" spans="1:51" x14ac:dyDescent="0.25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</row>
    <row r="534" spans="1:51" x14ac:dyDescent="0.25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</row>
    <row r="535" spans="1:51" x14ac:dyDescent="0.25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</row>
    <row r="536" spans="1:51" x14ac:dyDescent="0.25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</row>
    <row r="537" spans="1:51" x14ac:dyDescent="0.25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</row>
    <row r="538" spans="1:51" x14ac:dyDescent="0.25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</row>
    <row r="539" spans="1:51" x14ac:dyDescent="0.25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</row>
    <row r="540" spans="1:51" x14ac:dyDescent="0.25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</row>
    <row r="541" spans="1:51" x14ac:dyDescent="0.25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</row>
    <row r="542" spans="1:51" x14ac:dyDescent="0.25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</row>
    <row r="543" spans="1:51" x14ac:dyDescent="0.25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</row>
    <row r="544" spans="1:51" x14ac:dyDescent="0.25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</row>
    <row r="545" spans="1:51" x14ac:dyDescent="0.25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</row>
    <row r="546" spans="1:51" x14ac:dyDescent="0.25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</row>
    <row r="547" spans="1:51" x14ac:dyDescent="0.25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</row>
    <row r="548" spans="1:51" x14ac:dyDescent="0.25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</row>
    <row r="549" spans="1:51" x14ac:dyDescent="0.25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</row>
    <row r="550" spans="1:51" x14ac:dyDescent="0.25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</row>
    <row r="551" spans="1:51" x14ac:dyDescent="0.25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</row>
    <row r="552" spans="1:51" x14ac:dyDescent="0.25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</row>
    <row r="553" spans="1:51" x14ac:dyDescent="0.25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</row>
    <row r="554" spans="1:51" x14ac:dyDescent="0.25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</row>
    <row r="555" spans="1:51" x14ac:dyDescent="0.25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</row>
    <row r="556" spans="1:51" x14ac:dyDescent="0.25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</row>
    <row r="557" spans="1:51" x14ac:dyDescent="0.25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</row>
    <row r="558" spans="1:51" x14ac:dyDescent="0.25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</row>
    <row r="559" spans="1:51" x14ac:dyDescent="0.25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</row>
    <row r="560" spans="1:51" x14ac:dyDescent="0.25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</row>
    <row r="561" spans="1:51" x14ac:dyDescent="0.25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</row>
    <row r="562" spans="1:51" x14ac:dyDescent="0.25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</row>
    <row r="563" spans="1:51" x14ac:dyDescent="0.25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</row>
    <row r="564" spans="1:51" x14ac:dyDescent="0.25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</row>
    <row r="565" spans="1:51" x14ac:dyDescent="0.25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</row>
    <row r="566" spans="1:51" x14ac:dyDescent="0.25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</row>
    <row r="567" spans="1:51" x14ac:dyDescent="0.25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</row>
    <row r="568" spans="1:51" x14ac:dyDescent="0.25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</row>
    <row r="569" spans="1:51" x14ac:dyDescent="0.25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</row>
    <row r="570" spans="1:51" x14ac:dyDescent="0.25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</row>
    <row r="571" spans="1:51" x14ac:dyDescent="0.25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</row>
    <row r="572" spans="1:51" x14ac:dyDescent="0.25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</row>
    <row r="573" spans="1:51" x14ac:dyDescent="0.25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</row>
    <row r="574" spans="1:51" x14ac:dyDescent="0.25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</row>
    <row r="575" spans="1:51" x14ac:dyDescent="0.25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</row>
  </sheetData>
  <autoFilter ref="A10:P97"/>
  <mergeCells count="2">
    <mergeCell ref="F5:O5"/>
    <mergeCell ref="F6:O6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  <ignoredErrors>
    <ignoredError sqref="G63:H63 G52:H52 F49:H49 M58:N58 F58:H58 J66:J67 F79:H79 N18 F18:H18 F13:H13 J69 F14:H14 F34:H34 J42 F24:H24 F33:H33 F73 J6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118"/>
  <sheetViews>
    <sheetView topLeftCell="A73" workbookViewId="0">
      <selection activeCell="C97" sqref="C97"/>
    </sheetView>
  </sheetViews>
  <sheetFormatPr baseColWidth="10" defaultRowHeight="15" x14ac:dyDescent="0.25"/>
  <cols>
    <col min="1" max="1" width="8.5703125" customWidth="1"/>
    <col min="3" max="3" width="43" customWidth="1"/>
    <col min="5" max="5" width="15.7109375" customWidth="1"/>
    <col min="9" max="9" width="16.7109375" customWidth="1"/>
  </cols>
  <sheetData>
    <row r="6" spans="1:9" ht="14.25" customHeight="1" x14ac:dyDescent="0.25"/>
    <row r="7" spans="1:9" x14ac:dyDescent="0.25">
      <c r="C7" s="6" t="s">
        <v>149</v>
      </c>
    </row>
    <row r="11" spans="1:9" ht="15.75" thickBot="1" x14ac:dyDescent="0.3"/>
    <row r="12" spans="1:9" x14ac:dyDescent="0.25">
      <c r="A12" s="92"/>
      <c r="B12" s="95" t="s">
        <v>103</v>
      </c>
      <c r="C12" s="95" t="s">
        <v>104</v>
      </c>
      <c r="D12" s="95" t="s">
        <v>4</v>
      </c>
      <c r="E12" s="95" t="s">
        <v>144</v>
      </c>
      <c r="F12" s="86" t="s">
        <v>105</v>
      </c>
      <c r="G12" s="86" t="s">
        <v>106</v>
      </c>
      <c r="H12" s="86" t="s">
        <v>107</v>
      </c>
      <c r="I12" s="89" t="s">
        <v>108</v>
      </c>
    </row>
    <row r="13" spans="1:9" x14ac:dyDescent="0.25">
      <c r="A13" s="93"/>
      <c r="B13" s="96"/>
      <c r="C13" s="96"/>
      <c r="D13" s="96"/>
      <c r="E13" s="96"/>
      <c r="F13" s="87"/>
      <c r="G13" s="87"/>
      <c r="H13" s="87"/>
      <c r="I13" s="90"/>
    </row>
    <row r="14" spans="1:9" ht="15.75" thickBot="1" x14ac:dyDescent="0.3">
      <c r="A14" s="94"/>
      <c r="B14" s="97"/>
      <c r="C14" s="97"/>
      <c r="D14" s="97"/>
      <c r="E14" s="97"/>
      <c r="F14" s="88"/>
      <c r="G14" s="88"/>
      <c r="H14" s="88"/>
      <c r="I14" s="91"/>
    </row>
    <row r="15" spans="1:9" ht="15.75" thickBot="1" x14ac:dyDescent="0.3">
      <c r="A15" s="30"/>
      <c r="B15" s="31"/>
      <c r="C15" s="31"/>
      <c r="D15" s="31"/>
      <c r="E15" s="31"/>
      <c r="F15" s="32"/>
      <c r="G15" s="32"/>
      <c r="H15" s="31"/>
      <c r="I15" s="31"/>
    </row>
    <row r="16" spans="1:9" s="69" customFormat="1" x14ac:dyDescent="0.25">
      <c r="A16" s="113">
        <v>1</v>
      </c>
      <c r="B16" s="114" t="s">
        <v>109</v>
      </c>
      <c r="C16" s="115" t="s">
        <v>14</v>
      </c>
      <c r="D16" s="54">
        <f>27565.5*2</f>
        <v>55131</v>
      </c>
      <c r="E16" s="116">
        <f>D16*0.175</f>
        <v>9647.9249999999993</v>
      </c>
      <c r="F16" s="116">
        <f t="shared" ref="F16:F79" si="0">D16*0.03</f>
        <v>1653.9299999999998</v>
      </c>
      <c r="G16" s="116">
        <f t="shared" ref="G16:G79" si="1">D16*0.02</f>
        <v>1102.6200000000001</v>
      </c>
      <c r="H16" s="54">
        <f>1028.5*2</f>
        <v>2057</v>
      </c>
      <c r="I16" s="117">
        <f>728.5*2</f>
        <v>1457</v>
      </c>
    </row>
    <row r="17" spans="1:9" s="38" customFormat="1" x14ac:dyDescent="0.25">
      <c r="A17" s="28">
        <v>2</v>
      </c>
      <c r="B17" s="10" t="s">
        <v>109</v>
      </c>
      <c r="C17" s="39" t="s">
        <v>17</v>
      </c>
      <c r="D17" s="5">
        <f>11416*2</f>
        <v>22832</v>
      </c>
      <c r="E17" s="7">
        <f t="shared" ref="E17:E80" si="2">D17*0.175</f>
        <v>3995.6</v>
      </c>
      <c r="F17" s="7">
        <f t="shared" si="0"/>
        <v>684.95999999999992</v>
      </c>
      <c r="G17" s="7">
        <f t="shared" si="1"/>
        <v>456.64</v>
      </c>
      <c r="H17" s="5">
        <f>623.5*2</f>
        <v>1247</v>
      </c>
      <c r="I17" s="5">
        <f>389.5*2</f>
        <v>779</v>
      </c>
    </row>
    <row r="18" spans="1:9" s="69" customFormat="1" x14ac:dyDescent="0.25">
      <c r="A18" s="52">
        <v>3</v>
      </c>
      <c r="B18" s="53" t="s">
        <v>109</v>
      </c>
      <c r="C18" s="57" t="s">
        <v>20</v>
      </c>
      <c r="D18" s="54">
        <f>7366.5*2</f>
        <v>14733</v>
      </c>
      <c r="E18" s="55">
        <f t="shared" si="2"/>
        <v>2578.2749999999996</v>
      </c>
      <c r="F18" s="55">
        <f t="shared" si="0"/>
        <v>441.99</v>
      </c>
      <c r="G18" s="55">
        <f t="shared" si="1"/>
        <v>294.66000000000003</v>
      </c>
      <c r="H18" s="54">
        <f>546.5*2</f>
        <v>1093</v>
      </c>
      <c r="I18" s="54">
        <f>339.5*2</f>
        <v>679</v>
      </c>
    </row>
    <row r="19" spans="1:9" s="38" customFormat="1" x14ac:dyDescent="0.25">
      <c r="A19" s="28">
        <v>4</v>
      </c>
      <c r="B19" s="10" t="s">
        <v>109</v>
      </c>
      <c r="C19" s="39" t="s">
        <v>17</v>
      </c>
      <c r="D19" s="5">
        <f>11416*2</f>
        <v>22832</v>
      </c>
      <c r="E19" s="7">
        <f t="shared" si="2"/>
        <v>3995.6</v>
      </c>
      <c r="F19" s="7">
        <f t="shared" si="0"/>
        <v>684.95999999999992</v>
      </c>
      <c r="G19" s="7">
        <f t="shared" si="1"/>
        <v>456.64</v>
      </c>
      <c r="H19" s="5">
        <f>623.5*2</f>
        <v>1247</v>
      </c>
      <c r="I19" s="5">
        <f>389.5*2</f>
        <v>779</v>
      </c>
    </row>
    <row r="20" spans="1:9" s="69" customFormat="1" x14ac:dyDescent="0.25">
      <c r="A20" s="52">
        <v>5</v>
      </c>
      <c r="B20" s="53" t="s">
        <v>109</v>
      </c>
      <c r="C20" s="57" t="s">
        <v>23</v>
      </c>
      <c r="D20" s="54">
        <f>7366.5*2</f>
        <v>14733</v>
      </c>
      <c r="E20" s="55">
        <f t="shared" si="2"/>
        <v>2578.2749999999996</v>
      </c>
      <c r="F20" s="55">
        <f t="shared" si="0"/>
        <v>441.99</v>
      </c>
      <c r="G20" s="55">
        <f t="shared" si="1"/>
        <v>294.66000000000003</v>
      </c>
      <c r="H20" s="54">
        <f>546.5*2</f>
        <v>1093</v>
      </c>
      <c r="I20" s="54">
        <f>339.5*2</f>
        <v>679</v>
      </c>
    </row>
    <row r="21" spans="1:9" s="38" customFormat="1" x14ac:dyDescent="0.25">
      <c r="A21" s="28">
        <v>6</v>
      </c>
      <c r="B21" s="10" t="s">
        <v>109</v>
      </c>
      <c r="C21" s="39" t="s">
        <v>23</v>
      </c>
      <c r="D21" s="5">
        <f>7366.5*2</f>
        <v>14733</v>
      </c>
      <c r="E21" s="7">
        <f t="shared" si="2"/>
        <v>2578.2749999999996</v>
      </c>
      <c r="F21" s="7">
        <f t="shared" si="0"/>
        <v>441.99</v>
      </c>
      <c r="G21" s="7">
        <f t="shared" si="1"/>
        <v>294.66000000000003</v>
      </c>
      <c r="H21" s="5">
        <f>546.5*2</f>
        <v>1093</v>
      </c>
      <c r="I21" s="5">
        <f>339.5*2</f>
        <v>679</v>
      </c>
    </row>
    <row r="22" spans="1:9" s="69" customFormat="1" x14ac:dyDescent="0.25">
      <c r="A22" s="52">
        <v>7</v>
      </c>
      <c r="B22" s="53" t="s">
        <v>109</v>
      </c>
      <c r="C22" s="57" t="s">
        <v>26</v>
      </c>
      <c r="D22" s="54">
        <f>7366.5*2</f>
        <v>14733</v>
      </c>
      <c r="E22" s="55">
        <f t="shared" si="2"/>
        <v>2578.2749999999996</v>
      </c>
      <c r="F22" s="55">
        <f t="shared" si="0"/>
        <v>441.99</v>
      </c>
      <c r="G22" s="55">
        <f t="shared" si="1"/>
        <v>294.66000000000003</v>
      </c>
      <c r="H22" s="54">
        <f>546.5*2</f>
        <v>1093</v>
      </c>
      <c r="I22" s="54">
        <f>339.5*2</f>
        <v>679</v>
      </c>
    </row>
    <row r="23" spans="1:9" s="38" customFormat="1" x14ac:dyDescent="0.25">
      <c r="A23" s="28">
        <v>8</v>
      </c>
      <c r="B23" s="10" t="s">
        <v>109</v>
      </c>
      <c r="C23" s="39" t="s">
        <v>28</v>
      </c>
      <c r="D23" s="5">
        <f>12864.5*2</f>
        <v>25729</v>
      </c>
      <c r="E23" s="7">
        <f t="shared" si="2"/>
        <v>4502.5749999999998</v>
      </c>
      <c r="F23" s="7">
        <f t="shared" si="0"/>
        <v>771.87</v>
      </c>
      <c r="G23" s="7">
        <f t="shared" si="1"/>
        <v>514.58000000000004</v>
      </c>
      <c r="H23" s="5">
        <f>643*2</f>
        <v>1286</v>
      </c>
      <c r="I23" s="5">
        <f>428.5*2</f>
        <v>857</v>
      </c>
    </row>
    <row r="24" spans="1:9" s="69" customFormat="1" x14ac:dyDescent="0.25">
      <c r="A24" s="52">
        <v>9</v>
      </c>
      <c r="B24" s="53" t="s">
        <v>109</v>
      </c>
      <c r="C24" s="59" t="s">
        <v>138</v>
      </c>
      <c r="D24" s="54">
        <f>7366.5*2</f>
        <v>14733</v>
      </c>
      <c r="E24" s="55">
        <f t="shared" si="2"/>
        <v>2578.2749999999996</v>
      </c>
      <c r="F24" s="55">
        <f t="shared" si="0"/>
        <v>441.99</v>
      </c>
      <c r="G24" s="55">
        <f t="shared" si="1"/>
        <v>294.66000000000003</v>
      </c>
      <c r="H24" s="54">
        <f>546.5*2</f>
        <v>1093</v>
      </c>
      <c r="I24" s="56">
        <f>339.5*2</f>
        <v>679</v>
      </c>
    </row>
    <row r="25" spans="1:9" s="38" customFormat="1" x14ac:dyDescent="0.25">
      <c r="A25" s="28">
        <v>10</v>
      </c>
      <c r="B25" s="10" t="s">
        <v>109</v>
      </c>
      <c r="C25" s="39" t="s">
        <v>23</v>
      </c>
      <c r="D25" s="5">
        <f>7366.5*2</f>
        <v>14733</v>
      </c>
      <c r="E25" s="7">
        <f t="shared" si="2"/>
        <v>2578.2749999999996</v>
      </c>
      <c r="F25" s="7">
        <f t="shared" si="0"/>
        <v>441.99</v>
      </c>
      <c r="G25" s="7">
        <f t="shared" si="1"/>
        <v>294.66000000000003</v>
      </c>
      <c r="H25" s="5">
        <f>546.5*2</f>
        <v>1093</v>
      </c>
      <c r="I25" s="5">
        <f>339.5*2</f>
        <v>679</v>
      </c>
    </row>
    <row r="26" spans="1:9" s="69" customFormat="1" x14ac:dyDescent="0.25">
      <c r="A26" s="66">
        <v>11</v>
      </c>
      <c r="B26" s="67" t="s">
        <v>109</v>
      </c>
      <c r="C26" s="57" t="s">
        <v>17</v>
      </c>
      <c r="D26" s="54">
        <f>11416*2</f>
        <v>22832</v>
      </c>
      <c r="E26" s="68">
        <f t="shared" si="2"/>
        <v>3995.6</v>
      </c>
      <c r="F26" s="68">
        <f t="shared" si="0"/>
        <v>684.95999999999992</v>
      </c>
      <c r="G26" s="68">
        <f t="shared" si="1"/>
        <v>456.64</v>
      </c>
      <c r="H26" s="54">
        <f>623.5*2</f>
        <v>1247</v>
      </c>
      <c r="I26" s="54">
        <f>389.5*2</f>
        <v>779</v>
      </c>
    </row>
    <row r="27" spans="1:9" s="38" customFormat="1" x14ac:dyDescent="0.25">
      <c r="A27" s="28">
        <v>12</v>
      </c>
      <c r="B27" s="10" t="s">
        <v>109</v>
      </c>
      <c r="C27" s="39" t="s">
        <v>32</v>
      </c>
      <c r="D27" s="5">
        <f>12864.5*2</f>
        <v>25729</v>
      </c>
      <c r="E27" s="7">
        <f t="shared" si="2"/>
        <v>4502.5749999999998</v>
      </c>
      <c r="F27" s="7">
        <f t="shared" si="0"/>
        <v>771.87</v>
      </c>
      <c r="G27" s="7">
        <f t="shared" si="1"/>
        <v>514.58000000000004</v>
      </c>
      <c r="H27" s="5">
        <f>643*2</f>
        <v>1286</v>
      </c>
      <c r="I27" s="5">
        <f>428.5*2</f>
        <v>857</v>
      </c>
    </row>
    <row r="28" spans="1:9" s="69" customFormat="1" x14ac:dyDescent="0.25">
      <c r="A28" s="52">
        <v>13</v>
      </c>
      <c r="B28" s="53" t="s">
        <v>109</v>
      </c>
      <c r="C28" s="59" t="s">
        <v>136</v>
      </c>
      <c r="D28" s="54">
        <f>7366.5*2</f>
        <v>14733</v>
      </c>
      <c r="E28" s="55">
        <f t="shared" si="2"/>
        <v>2578.2749999999996</v>
      </c>
      <c r="F28" s="55">
        <f t="shared" si="0"/>
        <v>441.99</v>
      </c>
      <c r="G28" s="55">
        <f t="shared" si="1"/>
        <v>294.66000000000003</v>
      </c>
      <c r="H28" s="54">
        <f>546.5*2</f>
        <v>1093</v>
      </c>
      <c r="I28" s="56">
        <f>339.5*2</f>
        <v>679</v>
      </c>
    </row>
    <row r="29" spans="1:9" s="38" customFormat="1" x14ac:dyDescent="0.25">
      <c r="A29" s="28">
        <v>14</v>
      </c>
      <c r="B29" s="10" t="s">
        <v>109</v>
      </c>
      <c r="C29" s="39" t="s">
        <v>34</v>
      </c>
      <c r="D29" s="5">
        <f>6843.5</f>
        <v>6843.5</v>
      </c>
      <c r="E29" s="7">
        <f t="shared" si="2"/>
        <v>1197.6125</v>
      </c>
      <c r="F29" s="7">
        <f t="shared" si="0"/>
        <v>205.30499999999998</v>
      </c>
      <c r="G29" s="7">
        <f t="shared" si="1"/>
        <v>136.87</v>
      </c>
      <c r="H29" s="5">
        <f>478.5</f>
        <v>478.5</v>
      </c>
      <c r="I29" s="5">
        <f>330.5</f>
        <v>330.5</v>
      </c>
    </row>
    <row r="30" spans="1:9" s="69" customFormat="1" x14ac:dyDescent="0.25">
      <c r="A30" s="52">
        <v>15</v>
      </c>
      <c r="B30" s="53" t="s">
        <v>109</v>
      </c>
      <c r="C30" s="57" t="s">
        <v>26</v>
      </c>
      <c r="D30" s="54">
        <f>7366.5*2</f>
        <v>14733</v>
      </c>
      <c r="E30" s="55">
        <f t="shared" si="2"/>
        <v>2578.2749999999996</v>
      </c>
      <c r="F30" s="55">
        <f t="shared" si="0"/>
        <v>441.99</v>
      </c>
      <c r="G30" s="55">
        <f t="shared" si="1"/>
        <v>294.66000000000003</v>
      </c>
      <c r="H30" s="54">
        <f>546.5*2</f>
        <v>1093</v>
      </c>
      <c r="I30" s="54">
        <f>339.5*2</f>
        <v>679</v>
      </c>
    </row>
    <row r="31" spans="1:9" s="38" customFormat="1" x14ac:dyDescent="0.25">
      <c r="A31" s="28">
        <v>16</v>
      </c>
      <c r="B31" s="10" t="s">
        <v>109</v>
      </c>
      <c r="C31" s="39" t="s">
        <v>20</v>
      </c>
      <c r="D31" s="5">
        <f>7366.5*2</f>
        <v>14733</v>
      </c>
      <c r="E31" s="7">
        <f t="shared" si="2"/>
        <v>2578.2749999999996</v>
      </c>
      <c r="F31" s="7">
        <f t="shared" si="0"/>
        <v>441.99</v>
      </c>
      <c r="G31" s="7">
        <f t="shared" si="1"/>
        <v>294.66000000000003</v>
      </c>
      <c r="H31" s="5">
        <f>546.5*2</f>
        <v>1093</v>
      </c>
      <c r="I31" s="5">
        <f>339.5*2</f>
        <v>679</v>
      </c>
    </row>
    <row r="32" spans="1:9" s="69" customFormat="1" x14ac:dyDescent="0.25">
      <c r="A32" s="52">
        <v>17</v>
      </c>
      <c r="B32" s="53" t="s">
        <v>109</v>
      </c>
      <c r="C32" s="57" t="s">
        <v>23</v>
      </c>
      <c r="D32" s="54">
        <f>7366.5*2</f>
        <v>14733</v>
      </c>
      <c r="E32" s="55">
        <f t="shared" si="2"/>
        <v>2578.2749999999996</v>
      </c>
      <c r="F32" s="55">
        <f t="shared" si="0"/>
        <v>441.99</v>
      </c>
      <c r="G32" s="55">
        <f t="shared" si="1"/>
        <v>294.66000000000003</v>
      </c>
      <c r="H32" s="54">
        <f>546.5*2</f>
        <v>1093</v>
      </c>
      <c r="I32" s="54">
        <f>339.5*2</f>
        <v>679</v>
      </c>
    </row>
    <row r="33" spans="1:9" s="38" customFormat="1" x14ac:dyDescent="0.25">
      <c r="A33" s="28">
        <v>18</v>
      </c>
      <c r="B33" s="10" t="s">
        <v>109</v>
      </c>
      <c r="C33" s="39" t="s">
        <v>23</v>
      </c>
      <c r="D33" s="5">
        <f>7366.5*2</f>
        <v>14733</v>
      </c>
      <c r="E33" s="7">
        <f t="shared" si="2"/>
        <v>2578.2749999999996</v>
      </c>
      <c r="F33" s="7">
        <f t="shared" si="0"/>
        <v>441.99</v>
      </c>
      <c r="G33" s="7">
        <f t="shared" si="1"/>
        <v>294.66000000000003</v>
      </c>
      <c r="H33" s="5">
        <f>546.5*2</f>
        <v>1093</v>
      </c>
      <c r="I33" s="5">
        <f>339.5*2</f>
        <v>679</v>
      </c>
    </row>
    <row r="34" spans="1:9" s="69" customFormat="1" x14ac:dyDescent="0.25">
      <c r="A34" s="52">
        <v>19</v>
      </c>
      <c r="B34" s="53" t="s">
        <v>109</v>
      </c>
      <c r="C34" s="57" t="s">
        <v>126</v>
      </c>
      <c r="D34" s="54">
        <f>27565.5*2</f>
        <v>55131</v>
      </c>
      <c r="E34" s="55">
        <f t="shared" si="2"/>
        <v>9647.9249999999993</v>
      </c>
      <c r="F34" s="58">
        <f t="shared" si="0"/>
        <v>1653.9299999999998</v>
      </c>
      <c r="G34" s="55">
        <f t="shared" si="1"/>
        <v>1102.6200000000001</v>
      </c>
      <c r="H34" s="54">
        <f>1028.5*2</f>
        <v>2057</v>
      </c>
      <c r="I34" s="54">
        <f>728.5*2</f>
        <v>1457</v>
      </c>
    </row>
    <row r="35" spans="1:9" s="38" customFormat="1" x14ac:dyDescent="0.25">
      <c r="A35" s="28">
        <v>20</v>
      </c>
      <c r="B35" s="10" t="s">
        <v>109</v>
      </c>
      <c r="C35" s="39" t="s">
        <v>127</v>
      </c>
      <c r="D35" s="5">
        <f>34722.5*2</f>
        <v>69445</v>
      </c>
      <c r="E35" s="7">
        <f t="shared" si="2"/>
        <v>12152.875</v>
      </c>
      <c r="F35" s="7">
        <f t="shared" si="0"/>
        <v>2083.35</v>
      </c>
      <c r="G35" s="7">
        <f t="shared" si="1"/>
        <v>1388.9</v>
      </c>
      <c r="H35" s="5">
        <f>1272*2</f>
        <v>2544</v>
      </c>
      <c r="I35" s="5">
        <f>897*2</f>
        <v>1794</v>
      </c>
    </row>
    <row r="36" spans="1:9" s="69" customFormat="1" x14ac:dyDescent="0.25">
      <c r="A36" s="52">
        <v>21</v>
      </c>
      <c r="B36" s="53" t="s">
        <v>109</v>
      </c>
      <c r="C36" s="57" t="s">
        <v>17</v>
      </c>
      <c r="D36" s="54">
        <f>11416*2</f>
        <v>22832</v>
      </c>
      <c r="E36" s="55">
        <f t="shared" si="2"/>
        <v>3995.6</v>
      </c>
      <c r="F36" s="55">
        <f t="shared" si="0"/>
        <v>684.95999999999992</v>
      </c>
      <c r="G36" s="55">
        <f t="shared" si="1"/>
        <v>456.64</v>
      </c>
      <c r="H36" s="54">
        <f>623.5*2</f>
        <v>1247</v>
      </c>
      <c r="I36" s="54">
        <f>389.5*2</f>
        <v>779</v>
      </c>
    </row>
    <row r="37" spans="1:9" s="38" customFormat="1" x14ac:dyDescent="0.25">
      <c r="A37" s="28">
        <v>22</v>
      </c>
      <c r="B37" s="10" t="s">
        <v>109</v>
      </c>
      <c r="C37" s="39" t="s">
        <v>26</v>
      </c>
      <c r="D37" s="5">
        <f>7366.5*2</f>
        <v>14733</v>
      </c>
      <c r="E37" s="7">
        <f t="shared" si="2"/>
        <v>2578.2749999999996</v>
      </c>
      <c r="F37" s="7">
        <f t="shared" si="0"/>
        <v>441.99</v>
      </c>
      <c r="G37" s="7">
        <f t="shared" si="1"/>
        <v>294.66000000000003</v>
      </c>
      <c r="H37" s="5">
        <f>546.5*2</f>
        <v>1093</v>
      </c>
      <c r="I37" s="5">
        <f>339.5*2</f>
        <v>679</v>
      </c>
    </row>
    <row r="38" spans="1:9" s="69" customFormat="1" x14ac:dyDescent="0.25">
      <c r="A38" s="52">
        <v>23</v>
      </c>
      <c r="B38" s="53" t="s">
        <v>109</v>
      </c>
      <c r="C38" s="57" t="s">
        <v>32</v>
      </c>
      <c r="D38" s="54">
        <f>12864.5*2</f>
        <v>25729</v>
      </c>
      <c r="E38" s="55">
        <f t="shared" si="2"/>
        <v>4502.5749999999998</v>
      </c>
      <c r="F38" s="55">
        <f t="shared" si="0"/>
        <v>771.87</v>
      </c>
      <c r="G38" s="55">
        <f t="shared" si="1"/>
        <v>514.58000000000004</v>
      </c>
      <c r="H38" s="54">
        <f>643*2</f>
        <v>1286</v>
      </c>
      <c r="I38" s="54">
        <f>428.5*2</f>
        <v>857</v>
      </c>
    </row>
    <row r="39" spans="1:9" s="38" customFormat="1" x14ac:dyDescent="0.25">
      <c r="A39" s="28">
        <v>24</v>
      </c>
      <c r="B39" s="10" t="s">
        <v>109</v>
      </c>
      <c r="C39" s="47" t="s">
        <v>130</v>
      </c>
      <c r="D39" s="5">
        <f>7366.5*2</f>
        <v>14733</v>
      </c>
      <c r="E39" s="7">
        <f t="shared" si="2"/>
        <v>2578.2749999999996</v>
      </c>
      <c r="F39" s="7">
        <f t="shared" si="0"/>
        <v>441.99</v>
      </c>
      <c r="G39" s="7">
        <f t="shared" si="1"/>
        <v>294.66000000000003</v>
      </c>
      <c r="H39" s="5">
        <f>546.5*2</f>
        <v>1093</v>
      </c>
      <c r="I39" s="5">
        <f>339.5*2</f>
        <v>679</v>
      </c>
    </row>
    <row r="40" spans="1:9" s="69" customFormat="1" x14ac:dyDescent="0.25">
      <c r="A40" s="52">
        <v>25</v>
      </c>
      <c r="B40" s="53" t="s">
        <v>109</v>
      </c>
      <c r="C40" s="57" t="s">
        <v>32</v>
      </c>
      <c r="D40" s="54">
        <f>12864.5*2</f>
        <v>25729</v>
      </c>
      <c r="E40" s="55">
        <f t="shared" si="2"/>
        <v>4502.5749999999998</v>
      </c>
      <c r="F40" s="55">
        <f t="shared" si="0"/>
        <v>771.87</v>
      </c>
      <c r="G40" s="55">
        <f t="shared" si="1"/>
        <v>514.58000000000004</v>
      </c>
      <c r="H40" s="54">
        <f>643*2</f>
        <v>1286</v>
      </c>
      <c r="I40" s="54">
        <f>428.5*2</f>
        <v>857</v>
      </c>
    </row>
    <row r="41" spans="1:9" s="38" customFormat="1" x14ac:dyDescent="0.25">
      <c r="A41" s="28">
        <v>26</v>
      </c>
      <c r="B41" s="10" t="s">
        <v>109</v>
      </c>
      <c r="C41" s="39" t="s">
        <v>45</v>
      </c>
      <c r="D41" s="5">
        <f>21140*2</f>
        <v>42280</v>
      </c>
      <c r="E41" s="7">
        <f t="shared" si="2"/>
        <v>7398.9999999999991</v>
      </c>
      <c r="F41" s="7">
        <f t="shared" si="0"/>
        <v>1268.3999999999999</v>
      </c>
      <c r="G41" s="7">
        <f t="shared" si="1"/>
        <v>845.6</v>
      </c>
      <c r="H41" s="5">
        <f>932.5*2</f>
        <v>1865</v>
      </c>
      <c r="I41" s="5">
        <f>672.5*2</f>
        <v>1345</v>
      </c>
    </row>
    <row r="42" spans="1:9" s="69" customFormat="1" x14ac:dyDescent="0.25">
      <c r="A42" s="52">
        <v>27</v>
      </c>
      <c r="B42" s="53" t="s">
        <v>109</v>
      </c>
      <c r="C42" s="57" t="s">
        <v>23</v>
      </c>
      <c r="D42" s="54">
        <f>7366.5*2</f>
        <v>14733</v>
      </c>
      <c r="E42" s="55">
        <f t="shared" si="2"/>
        <v>2578.2749999999996</v>
      </c>
      <c r="F42" s="55">
        <f t="shared" si="0"/>
        <v>441.99</v>
      </c>
      <c r="G42" s="55">
        <f t="shared" si="1"/>
        <v>294.66000000000003</v>
      </c>
      <c r="H42" s="54">
        <f>546.5*2</f>
        <v>1093</v>
      </c>
      <c r="I42" s="54">
        <f>339.5*2</f>
        <v>679</v>
      </c>
    </row>
    <row r="43" spans="1:9" s="38" customFormat="1" x14ac:dyDescent="0.25">
      <c r="A43" s="28">
        <v>28</v>
      </c>
      <c r="B43" s="10" t="s">
        <v>109</v>
      </c>
      <c r="C43" s="39" t="s">
        <v>23</v>
      </c>
      <c r="D43" s="5">
        <f>7366.5*2</f>
        <v>14733</v>
      </c>
      <c r="E43" s="7">
        <f t="shared" si="2"/>
        <v>2578.2749999999996</v>
      </c>
      <c r="F43" s="7">
        <f t="shared" si="0"/>
        <v>441.99</v>
      </c>
      <c r="G43" s="7">
        <f t="shared" si="1"/>
        <v>294.66000000000003</v>
      </c>
      <c r="H43" s="5">
        <f>546.5*2</f>
        <v>1093</v>
      </c>
      <c r="I43" s="5">
        <f>339.5*2</f>
        <v>679</v>
      </c>
    </row>
    <row r="44" spans="1:9" s="69" customFormat="1" x14ac:dyDescent="0.25">
      <c r="A44" s="52">
        <v>29</v>
      </c>
      <c r="B44" s="53" t="s">
        <v>109</v>
      </c>
      <c r="C44" s="57" t="s">
        <v>17</v>
      </c>
      <c r="D44" s="54">
        <f>11416*2</f>
        <v>22832</v>
      </c>
      <c r="E44" s="55">
        <f t="shared" si="2"/>
        <v>3995.6</v>
      </c>
      <c r="F44" s="55">
        <f t="shared" si="0"/>
        <v>684.95999999999992</v>
      </c>
      <c r="G44" s="55">
        <f t="shared" si="1"/>
        <v>456.64</v>
      </c>
      <c r="H44" s="54">
        <f>623.5*2</f>
        <v>1247</v>
      </c>
      <c r="I44" s="54">
        <f>389.5*2</f>
        <v>779</v>
      </c>
    </row>
    <row r="45" spans="1:9" s="38" customFormat="1" x14ac:dyDescent="0.25">
      <c r="A45" s="28">
        <v>30</v>
      </c>
      <c r="B45" s="10" t="s">
        <v>109</v>
      </c>
      <c r="C45" s="47" t="s">
        <v>133</v>
      </c>
      <c r="D45" s="5">
        <f>6503*2</f>
        <v>13006</v>
      </c>
      <c r="E45" s="7">
        <f t="shared" si="2"/>
        <v>2276.0499999999997</v>
      </c>
      <c r="F45" s="7">
        <f t="shared" si="0"/>
        <v>390.18</v>
      </c>
      <c r="G45" s="7">
        <f t="shared" si="1"/>
        <v>260.12</v>
      </c>
      <c r="H45" s="46">
        <f>470.5*2</f>
        <v>941</v>
      </c>
      <c r="I45" s="46">
        <f>322.5*2</f>
        <v>645</v>
      </c>
    </row>
    <row r="46" spans="1:9" s="69" customFormat="1" x14ac:dyDescent="0.25">
      <c r="A46" s="52">
        <v>31</v>
      </c>
      <c r="B46" s="53" t="s">
        <v>109</v>
      </c>
      <c r="C46" s="57" t="s">
        <v>20</v>
      </c>
      <c r="D46" s="54">
        <f>7366.5*2</f>
        <v>14733</v>
      </c>
      <c r="E46" s="55">
        <f t="shared" si="2"/>
        <v>2578.2749999999996</v>
      </c>
      <c r="F46" s="55">
        <f t="shared" si="0"/>
        <v>441.99</v>
      </c>
      <c r="G46" s="55">
        <f t="shared" si="1"/>
        <v>294.66000000000003</v>
      </c>
      <c r="H46" s="54">
        <f>546.5*2</f>
        <v>1093</v>
      </c>
      <c r="I46" s="54">
        <f>339.5*2</f>
        <v>679</v>
      </c>
    </row>
    <row r="47" spans="1:9" s="38" customFormat="1" x14ac:dyDescent="0.25">
      <c r="A47" s="28">
        <v>32</v>
      </c>
      <c r="B47" s="10" t="s">
        <v>109</v>
      </c>
      <c r="C47" s="48" t="s">
        <v>17</v>
      </c>
      <c r="D47" s="43">
        <f>11416*2</f>
        <v>22832</v>
      </c>
      <c r="E47" s="7">
        <f t="shared" si="2"/>
        <v>3995.6</v>
      </c>
      <c r="F47" s="7">
        <f t="shared" si="0"/>
        <v>684.95999999999992</v>
      </c>
      <c r="G47" s="7">
        <f t="shared" si="1"/>
        <v>456.64</v>
      </c>
      <c r="H47" s="43">
        <f>623.5*2</f>
        <v>1247</v>
      </c>
      <c r="I47" s="43">
        <f>389.5*2</f>
        <v>779</v>
      </c>
    </row>
    <row r="48" spans="1:9" s="69" customFormat="1" ht="15.75" customHeight="1" x14ac:dyDescent="0.25">
      <c r="A48" s="52">
        <v>33</v>
      </c>
      <c r="B48" s="53" t="s">
        <v>109</v>
      </c>
      <c r="C48" s="60" t="s">
        <v>17</v>
      </c>
      <c r="D48" s="61">
        <f>11416*2</f>
        <v>22832</v>
      </c>
      <c r="E48" s="55">
        <f t="shared" si="2"/>
        <v>3995.6</v>
      </c>
      <c r="F48" s="55">
        <f t="shared" si="0"/>
        <v>684.95999999999992</v>
      </c>
      <c r="G48" s="55">
        <f t="shared" si="1"/>
        <v>456.64</v>
      </c>
      <c r="H48" s="61">
        <f>623.5*2</f>
        <v>1247</v>
      </c>
      <c r="I48" s="61">
        <f>389.5*2</f>
        <v>779</v>
      </c>
    </row>
    <row r="49" spans="1:9" s="38" customFormat="1" x14ac:dyDescent="0.25">
      <c r="A49" s="28">
        <v>34</v>
      </c>
      <c r="B49" s="10" t="s">
        <v>109</v>
      </c>
      <c r="C49" s="39" t="s">
        <v>23</v>
      </c>
      <c r="D49" s="5">
        <f>7366.5*2</f>
        <v>14733</v>
      </c>
      <c r="E49" s="7">
        <f t="shared" si="2"/>
        <v>2578.2749999999996</v>
      </c>
      <c r="F49" s="7">
        <f t="shared" si="0"/>
        <v>441.99</v>
      </c>
      <c r="G49" s="7">
        <f t="shared" si="1"/>
        <v>294.66000000000003</v>
      </c>
      <c r="H49" s="5">
        <f>546.5*2</f>
        <v>1093</v>
      </c>
      <c r="I49" s="5">
        <f>339.5*2</f>
        <v>679</v>
      </c>
    </row>
    <row r="50" spans="1:9" s="69" customFormat="1" x14ac:dyDescent="0.25">
      <c r="A50" s="52">
        <v>35</v>
      </c>
      <c r="B50" s="53" t="s">
        <v>109</v>
      </c>
      <c r="C50" s="57" t="s">
        <v>23</v>
      </c>
      <c r="D50" s="54">
        <f>7366.5*2</f>
        <v>14733</v>
      </c>
      <c r="E50" s="55">
        <f t="shared" si="2"/>
        <v>2578.2749999999996</v>
      </c>
      <c r="F50" s="55">
        <f t="shared" si="0"/>
        <v>441.99</v>
      </c>
      <c r="G50" s="55">
        <f t="shared" si="1"/>
        <v>294.66000000000003</v>
      </c>
      <c r="H50" s="54">
        <f>546.5*2</f>
        <v>1093</v>
      </c>
      <c r="I50" s="54">
        <f>339.5*2</f>
        <v>679</v>
      </c>
    </row>
    <row r="51" spans="1:9" s="38" customFormat="1" x14ac:dyDescent="0.25">
      <c r="A51" s="28">
        <v>36</v>
      </c>
      <c r="B51" s="10" t="s">
        <v>109</v>
      </c>
      <c r="C51" s="39" t="s">
        <v>23</v>
      </c>
      <c r="D51" s="5">
        <f>7366.5*2</f>
        <v>14733</v>
      </c>
      <c r="E51" s="7">
        <f t="shared" si="2"/>
        <v>2578.2749999999996</v>
      </c>
      <c r="F51" s="7">
        <f t="shared" si="0"/>
        <v>441.99</v>
      </c>
      <c r="G51" s="7">
        <f t="shared" si="1"/>
        <v>294.66000000000003</v>
      </c>
      <c r="H51" s="5">
        <f>546.5*2</f>
        <v>1093</v>
      </c>
      <c r="I51" s="5">
        <f>339.5*2</f>
        <v>679</v>
      </c>
    </row>
    <row r="52" spans="1:9" s="69" customFormat="1" x14ac:dyDescent="0.25">
      <c r="A52" s="52">
        <v>37</v>
      </c>
      <c r="B52" s="53" t="s">
        <v>109</v>
      </c>
      <c r="C52" s="57" t="s">
        <v>23</v>
      </c>
      <c r="D52" s="54">
        <f>7366.5*2</f>
        <v>14733</v>
      </c>
      <c r="E52" s="55">
        <f t="shared" si="2"/>
        <v>2578.2749999999996</v>
      </c>
      <c r="F52" s="55">
        <f t="shared" si="0"/>
        <v>441.99</v>
      </c>
      <c r="G52" s="55">
        <f t="shared" si="1"/>
        <v>294.66000000000003</v>
      </c>
      <c r="H52" s="54">
        <f>546.5*2</f>
        <v>1093</v>
      </c>
      <c r="I52" s="54">
        <f>339.5*2</f>
        <v>679</v>
      </c>
    </row>
    <row r="53" spans="1:9" s="38" customFormat="1" x14ac:dyDescent="0.25">
      <c r="A53" s="28">
        <v>38</v>
      </c>
      <c r="B53" s="10" t="s">
        <v>109</v>
      </c>
      <c r="C53" s="39" t="s">
        <v>23</v>
      </c>
      <c r="D53" s="5">
        <f>7366.5*2</f>
        <v>14733</v>
      </c>
      <c r="E53" s="7">
        <f t="shared" si="2"/>
        <v>2578.2749999999996</v>
      </c>
      <c r="F53" s="7">
        <f t="shared" si="0"/>
        <v>441.99</v>
      </c>
      <c r="G53" s="7">
        <f t="shared" si="1"/>
        <v>294.66000000000003</v>
      </c>
      <c r="H53" s="5">
        <f>546.5*2</f>
        <v>1093</v>
      </c>
      <c r="I53" s="5">
        <f>339.5*2</f>
        <v>679</v>
      </c>
    </row>
    <row r="54" spans="1:9" s="69" customFormat="1" x14ac:dyDescent="0.25">
      <c r="A54" s="52">
        <v>39</v>
      </c>
      <c r="B54" s="53" t="s">
        <v>109</v>
      </c>
      <c r="C54" s="57" t="s">
        <v>32</v>
      </c>
      <c r="D54" s="54">
        <f>12864.5*2</f>
        <v>25729</v>
      </c>
      <c r="E54" s="55">
        <f t="shared" si="2"/>
        <v>4502.5749999999998</v>
      </c>
      <c r="F54" s="55">
        <f t="shared" si="0"/>
        <v>771.87</v>
      </c>
      <c r="G54" s="55">
        <f t="shared" si="1"/>
        <v>514.58000000000004</v>
      </c>
      <c r="H54" s="54">
        <f>643*2</f>
        <v>1286</v>
      </c>
      <c r="I54" s="54">
        <f>428.5*2</f>
        <v>857</v>
      </c>
    </row>
    <row r="55" spans="1:9" s="38" customFormat="1" x14ac:dyDescent="0.25">
      <c r="A55" s="28">
        <v>40</v>
      </c>
      <c r="B55" s="10" t="s">
        <v>109</v>
      </c>
      <c r="C55" s="39" t="s">
        <v>32</v>
      </c>
      <c r="D55" s="5">
        <f>12864.5*2</f>
        <v>25729</v>
      </c>
      <c r="E55" s="7">
        <f t="shared" si="2"/>
        <v>4502.5749999999998</v>
      </c>
      <c r="F55" s="7">
        <f t="shared" si="0"/>
        <v>771.87</v>
      </c>
      <c r="G55" s="7">
        <f t="shared" si="1"/>
        <v>514.58000000000004</v>
      </c>
      <c r="H55" s="5">
        <f>643*2</f>
        <v>1286</v>
      </c>
      <c r="I55" s="5">
        <f>428.5*2</f>
        <v>857</v>
      </c>
    </row>
    <row r="56" spans="1:9" s="69" customFormat="1" x14ac:dyDescent="0.25">
      <c r="A56" s="52">
        <v>41</v>
      </c>
      <c r="B56" s="53" t="s">
        <v>109</v>
      </c>
      <c r="C56" s="57" t="s">
        <v>23</v>
      </c>
      <c r="D56" s="54">
        <f>7366.5*2</f>
        <v>14733</v>
      </c>
      <c r="E56" s="55">
        <f t="shared" si="2"/>
        <v>2578.2749999999996</v>
      </c>
      <c r="F56" s="55">
        <f t="shared" si="0"/>
        <v>441.99</v>
      </c>
      <c r="G56" s="55">
        <f t="shared" si="1"/>
        <v>294.66000000000003</v>
      </c>
      <c r="H56" s="54">
        <f>546.5*2</f>
        <v>1093</v>
      </c>
      <c r="I56" s="54">
        <f>339.5*2</f>
        <v>679</v>
      </c>
    </row>
    <row r="57" spans="1:9" s="38" customFormat="1" x14ac:dyDescent="0.25">
      <c r="A57" s="28">
        <v>42</v>
      </c>
      <c r="B57" s="10" t="s">
        <v>109</v>
      </c>
      <c r="C57" s="39" t="s">
        <v>45</v>
      </c>
      <c r="D57" s="5">
        <f>21109.5*2</f>
        <v>42219</v>
      </c>
      <c r="E57" s="7">
        <f t="shared" si="2"/>
        <v>7388.3249999999998</v>
      </c>
      <c r="F57" s="7">
        <f t="shared" si="0"/>
        <v>1266.57</v>
      </c>
      <c r="G57" s="7">
        <f t="shared" si="1"/>
        <v>844.38</v>
      </c>
      <c r="H57" s="5">
        <f>932.5*2</f>
        <v>1865</v>
      </c>
      <c r="I57" s="5">
        <f>672.5*2</f>
        <v>1345</v>
      </c>
    </row>
    <row r="58" spans="1:9" s="69" customFormat="1" x14ac:dyDescent="0.25">
      <c r="A58" s="52">
        <v>43</v>
      </c>
      <c r="B58" s="53" t="s">
        <v>109</v>
      </c>
      <c r="C58" s="57" t="s">
        <v>20</v>
      </c>
      <c r="D58" s="54">
        <f>7436.5*2</f>
        <v>14873</v>
      </c>
      <c r="E58" s="55">
        <f t="shared" si="2"/>
        <v>2602.7749999999996</v>
      </c>
      <c r="F58" s="55">
        <f t="shared" si="0"/>
        <v>446.19</v>
      </c>
      <c r="G58" s="55">
        <f t="shared" si="1"/>
        <v>297.45999999999998</v>
      </c>
      <c r="H58" s="54">
        <f>546.5*2</f>
        <v>1093</v>
      </c>
      <c r="I58" s="54">
        <f>339.5*2</f>
        <v>679</v>
      </c>
    </row>
    <row r="59" spans="1:9" s="38" customFormat="1" x14ac:dyDescent="0.25">
      <c r="A59" s="28">
        <v>44</v>
      </c>
      <c r="B59" s="10" t="s">
        <v>109</v>
      </c>
      <c r="C59" s="39" t="s">
        <v>23</v>
      </c>
      <c r="D59" s="5">
        <f>7366.5*2</f>
        <v>14733</v>
      </c>
      <c r="E59" s="7">
        <f t="shared" si="2"/>
        <v>2578.2749999999996</v>
      </c>
      <c r="F59" s="7">
        <f t="shared" si="0"/>
        <v>441.99</v>
      </c>
      <c r="G59" s="7">
        <f t="shared" si="1"/>
        <v>294.66000000000003</v>
      </c>
      <c r="H59" s="5">
        <f>546.5*2</f>
        <v>1093</v>
      </c>
      <c r="I59" s="5">
        <f>339.5*2</f>
        <v>679</v>
      </c>
    </row>
    <row r="60" spans="1:9" s="69" customFormat="1" x14ac:dyDescent="0.25">
      <c r="A60" s="52">
        <v>45</v>
      </c>
      <c r="B60" s="53" t="s">
        <v>109</v>
      </c>
      <c r="C60" s="59" t="s">
        <v>136</v>
      </c>
      <c r="D60" s="54">
        <f>7366.5*2</f>
        <v>14733</v>
      </c>
      <c r="E60" s="55">
        <f t="shared" si="2"/>
        <v>2578.2749999999996</v>
      </c>
      <c r="F60" s="55">
        <f t="shared" si="0"/>
        <v>441.99</v>
      </c>
      <c r="G60" s="55">
        <f t="shared" si="1"/>
        <v>294.66000000000003</v>
      </c>
      <c r="H60" s="56">
        <f>546.5*2</f>
        <v>1093</v>
      </c>
      <c r="I60" s="56">
        <f>339.5*2</f>
        <v>679</v>
      </c>
    </row>
    <row r="61" spans="1:9" s="38" customFormat="1" x14ac:dyDescent="0.25">
      <c r="A61" s="28">
        <v>46</v>
      </c>
      <c r="B61" s="10" t="s">
        <v>109</v>
      </c>
      <c r="C61" s="39" t="s">
        <v>20</v>
      </c>
      <c r="D61" s="5">
        <f>7366.5*2</f>
        <v>14733</v>
      </c>
      <c r="E61" s="7">
        <f t="shared" si="2"/>
        <v>2578.2749999999996</v>
      </c>
      <c r="F61" s="7">
        <f>D61*0.03</f>
        <v>441.99</v>
      </c>
      <c r="G61" s="7">
        <f t="shared" si="1"/>
        <v>294.66000000000003</v>
      </c>
      <c r="H61" s="5">
        <f>546.5*2</f>
        <v>1093</v>
      </c>
      <c r="I61" s="5">
        <f>339.5*2</f>
        <v>679</v>
      </c>
    </row>
    <row r="62" spans="1:9" s="69" customFormat="1" x14ac:dyDescent="0.25">
      <c r="A62" s="52">
        <v>47</v>
      </c>
      <c r="B62" s="53" t="s">
        <v>109</v>
      </c>
      <c r="C62" s="57" t="s">
        <v>32</v>
      </c>
      <c r="D62" s="54">
        <f>12864.5*2</f>
        <v>25729</v>
      </c>
      <c r="E62" s="55">
        <f t="shared" si="2"/>
        <v>4502.5749999999998</v>
      </c>
      <c r="F62" s="55">
        <f t="shared" si="0"/>
        <v>771.87</v>
      </c>
      <c r="G62" s="55">
        <f t="shared" si="1"/>
        <v>514.58000000000004</v>
      </c>
      <c r="H62" s="54">
        <f>643*2</f>
        <v>1286</v>
      </c>
      <c r="I62" s="54">
        <f>428.5*2</f>
        <v>857</v>
      </c>
    </row>
    <row r="63" spans="1:9" s="38" customFormat="1" x14ac:dyDescent="0.25">
      <c r="A63" s="28">
        <v>48</v>
      </c>
      <c r="B63" s="10" t="s">
        <v>109</v>
      </c>
      <c r="C63" s="39" t="s">
        <v>17</v>
      </c>
      <c r="D63" s="5">
        <f>11416*2</f>
        <v>22832</v>
      </c>
      <c r="E63" s="7">
        <f t="shared" si="2"/>
        <v>3995.6</v>
      </c>
      <c r="F63" s="7">
        <f t="shared" si="0"/>
        <v>684.95999999999992</v>
      </c>
      <c r="G63" s="7">
        <f t="shared" si="1"/>
        <v>456.64</v>
      </c>
      <c r="H63" s="5">
        <f>623.5*2</f>
        <v>1247</v>
      </c>
      <c r="I63" s="5">
        <f>389.5*2</f>
        <v>779</v>
      </c>
    </row>
    <row r="64" spans="1:9" s="69" customFormat="1" x14ac:dyDescent="0.25">
      <c r="A64" s="52">
        <v>49</v>
      </c>
      <c r="B64" s="53" t="s">
        <v>109</v>
      </c>
      <c r="C64" s="57" t="s">
        <v>32</v>
      </c>
      <c r="D64" s="54">
        <f>12864.5*2</f>
        <v>25729</v>
      </c>
      <c r="E64" s="55">
        <f t="shared" si="2"/>
        <v>4502.5749999999998</v>
      </c>
      <c r="F64" s="55">
        <f t="shared" si="0"/>
        <v>771.87</v>
      </c>
      <c r="G64" s="55">
        <f t="shared" si="1"/>
        <v>514.58000000000004</v>
      </c>
      <c r="H64" s="54">
        <f>643*2</f>
        <v>1286</v>
      </c>
      <c r="I64" s="54">
        <f>428.5*2</f>
        <v>857</v>
      </c>
    </row>
    <row r="65" spans="1:9" s="38" customFormat="1" x14ac:dyDescent="0.25">
      <c r="A65" s="28">
        <v>50</v>
      </c>
      <c r="B65" s="10" t="s">
        <v>109</v>
      </c>
      <c r="C65" s="39" t="s">
        <v>17</v>
      </c>
      <c r="D65" s="5">
        <f>8562*2</f>
        <v>17124</v>
      </c>
      <c r="E65" s="7">
        <f t="shared" si="2"/>
        <v>2996.7</v>
      </c>
      <c r="F65" s="7">
        <f t="shared" si="0"/>
        <v>513.72</v>
      </c>
      <c r="G65" s="7">
        <f t="shared" si="1"/>
        <v>342.48</v>
      </c>
      <c r="H65" s="5">
        <f>549.5*2</f>
        <v>1099</v>
      </c>
      <c r="I65" s="5">
        <f>370.5*2</f>
        <v>741</v>
      </c>
    </row>
    <row r="66" spans="1:9" s="69" customFormat="1" x14ac:dyDescent="0.25">
      <c r="A66" s="52">
        <v>51</v>
      </c>
      <c r="B66" s="53" t="s">
        <v>109</v>
      </c>
      <c r="C66" s="39" t="s">
        <v>17</v>
      </c>
      <c r="D66" s="5">
        <f>11416*2</f>
        <v>22832</v>
      </c>
      <c r="E66" s="55">
        <f t="shared" si="2"/>
        <v>3995.6</v>
      </c>
      <c r="F66" s="55">
        <f t="shared" si="0"/>
        <v>684.95999999999992</v>
      </c>
      <c r="G66" s="55">
        <f t="shared" si="1"/>
        <v>456.64</v>
      </c>
      <c r="H66" s="5">
        <f>623.5*2</f>
        <v>1247</v>
      </c>
      <c r="I66" s="5">
        <f>389.5*2</f>
        <v>779</v>
      </c>
    </row>
    <row r="67" spans="1:9" s="38" customFormat="1" x14ac:dyDescent="0.25">
      <c r="A67" s="28">
        <v>52</v>
      </c>
      <c r="B67" s="10" t="s">
        <v>109</v>
      </c>
      <c r="C67" s="39" t="s">
        <v>20</v>
      </c>
      <c r="D67" s="5">
        <f>7436.5*2</f>
        <v>14873</v>
      </c>
      <c r="E67" s="7">
        <f t="shared" si="2"/>
        <v>2602.7749999999996</v>
      </c>
      <c r="F67" s="7">
        <f t="shared" si="0"/>
        <v>446.19</v>
      </c>
      <c r="G67" s="7">
        <f t="shared" si="1"/>
        <v>297.45999999999998</v>
      </c>
      <c r="H67" s="5">
        <f>546.5*2</f>
        <v>1093</v>
      </c>
      <c r="I67" s="5">
        <f>339.5*2</f>
        <v>679</v>
      </c>
    </row>
    <row r="68" spans="1:9" s="69" customFormat="1" x14ac:dyDescent="0.25">
      <c r="A68" s="52">
        <v>53</v>
      </c>
      <c r="B68" s="53" t="s">
        <v>109</v>
      </c>
      <c r="C68" s="57" t="s">
        <v>45</v>
      </c>
      <c r="D68" s="54">
        <f>21109.5*2</f>
        <v>42219</v>
      </c>
      <c r="E68" s="55">
        <f t="shared" si="2"/>
        <v>7388.3249999999998</v>
      </c>
      <c r="F68" s="55">
        <f t="shared" si="0"/>
        <v>1266.57</v>
      </c>
      <c r="G68" s="55">
        <f t="shared" si="1"/>
        <v>844.38</v>
      </c>
      <c r="H68" s="54">
        <f>932.5*2</f>
        <v>1865</v>
      </c>
      <c r="I68" s="54">
        <f>672.5*2</f>
        <v>1345</v>
      </c>
    </row>
    <row r="69" spans="1:9" s="38" customFormat="1" x14ac:dyDescent="0.25">
      <c r="A69" s="28">
        <v>54</v>
      </c>
      <c r="B69" s="10" t="s">
        <v>109</v>
      </c>
      <c r="C69" s="39" t="s">
        <v>23</v>
      </c>
      <c r="D69" s="5">
        <f>7366.5*2</f>
        <v>14733</v>
      </c>
      <c r="E69" s="7">
        <f t="shared" si="2"/>
        <v>2578.2749999999996</v>
      </c>
      <c r="F69" s="7">
        <f t="shared" si="0"/>
        <v>441.99</v>
      </c>
      <c r="G69" s="7">
        <f t="shared" si="1"/>
        <v>294.66000000000003</v>
      </c>
      <c r="H69" s="5">
        <f>546.5*2</f>
        <v>1093</v>
      </c>
      <c r="I69" s="5">
        <f>339.5*2</f>
        <v>679</v>
      </c>
    </row>
    <row r="70" spans="1:9" s="69" customFormat="1" x14ac:dyDescent="0.25">
      <c r="A70" s="52">
        <v>55</v>
      </c>
      <c r="B70" s="53" t="s">
        <v>109</v>
      </c>
      <c r="C70" s="39" t="s">
        <v>26</v>
      </c>
      <c r="D70" s="5">
        <f>7366.5*2</f>
        <v>14733</v>
      </c>
      <c r="E70" s="55">
        <f t="shared" si="2"/>
        <v>2578.2749999999996</v>
      </c>
      <c r="F70" s="55">
        <f t="shared" si="0"/>
        <v>441.99</v>
      </c>
      <c r="G70" s="55">
        <f t="shared" si="1"/>
        <v>294.66000000000003</v>
      </c>
      <c r="H70" s="5">
        <f>546.5*2</f>
        <v>1093</v>
      </c>
      <c r="I70" s="5">
        <f>339.5*2</f>
        <v>679</v>
      </c>
    </row>
    <row r="71" spans="1:9" s="38" customFormat="1" x14ac:dyDescent="0.25">
      <c r="A71" s="28">
        <v>56</v>
      </c>
      <c r="B71" s="10" t="s">
        <v>109</v>
      </c>
      <c r="C71" s="39" t="s">
        <v>139</v>
      </c>
      <c r="D71" s="5">
        <f>10136*2</f>
        <v>20272</v>
      </c>
      <c r="E71" s="7">
        <f t="shared" si="2"/>
        <v>3547.6</v>
      </c>
      <c r="F71" s="7">
        <f t="shared" si="0"/>
        <v>608.16</v>
      </c>
      <c r="G71" s="7">
        <f t="shared" si="1"/>
        <v>405.44</v>
      </c>
      <c r="H71" s="5">
        <f>603*2</f>
        <v>1206</v>
      </c>
      <c r="I71" s="5">
        <f>377.5*2</f>
        <v>755</v>
      </c>
    </row>
    <row r="72" spans="1:9" s="69" customFormat="1" x14ac:dyDescent="0.25">
      <c r="A72" s="52">
        <v>57</v>
      </c>
      <c r="B72" s="53" t="s">
        <v>109</v>
      </c>
      <c r="C72" s="57" t="s">
        <v>17</v>
      </c>
      <c r="D72" s="54">
        <f>11416*2</f>
        <v>22832</v>
      </c>
      <c r="E72" s="55">
        <f t="shared" si="2"/>
        <v>3995.6</v>
      </c>
      <c r="F72" s="55">
        <f t="shared" si="0"/>
        <v>684.95999999999992</v>
      </c>
      <c r="G72" s="55">
        <f t="shared" si="1"/>
        <v>456.64</v>
      </c>
      <c r="H72" s="54">
        <f>623.5*2</f>
        <v>1247</v>
      </c>
      <c r="I72" s="54">
        <f>389.5*2</f>
        <v>779</v>
      </c>
    </row>
    <row r="73" spans="1:9" s="38" customFormat="1" x14ac:dyDescent="0.25">
      <c r="A73" s="28">
        <v>58</v>
      </c>
      <c r="B73" s="10" t="s">
        <v>109</v>
      </c>
      <c r="C73" s="39" t="s">
        <v>32</v>
      </c>
      <c r="D73" s="5">
        <f>12864.5*2</f>
        <v>25729</v>
      </c>
      <c r="E73" s="7">
        <f t="shared" si="2"/>
        <v>4502.5749999999998</v>
      </c>
      <c r="F73" s="7">
        <f t="shared" si="0"/>
        <v>771.87</v>
      </c>
      <c r="G73" s="7">
        <f t="shared" si="1"/>
        <v>514.58000000000004</v>
      </c>
      <c r="H73" s="5">
        <f>643*2</f>
        <v>1286</v>
      </c>
      <c r="I73" s="5">
        <f>428.5*2</f>
        <v>857</v>
      </c>
    </row>
    <row r="74" spans="1:9" s="69" customFormat="1" x14ac:dyDescent="0.25">
      <c r="A74" s="52">
        <v>59</v>
      </c>
      <c r="B74" s="53" t="s">
        <v>109</v>
      </c>
      <c r="C74" s="57" t="s">
        <v>32</v>
      </c>
      <c r="D74" s="54">
        <f>12864.5*2</f>
        <v>25729</v>
      </c>
      <c r="E74" s="55">
        <f t="shared" si="2"/>
        <v>4502.5749999999998</v>
      </c>
      <c r="F74" s="55">
        <f t="shared" si="0"/>
        <v>771.87</v>
      </c>
      <c r="G74" s="55">
        <f t="shared" si="1"/>
        <v>514.58000000000004</v>
      </c>
      <c r="H74" s="54">
        <f>643*2</f>
        <v>1286</v>
      </c>
      <c r="I74" s="54">
        <f>428.5*2</f>
        <v>857</v>
      </c>
    </row>
    <row r="75" spans="1:9" s="38" customFormat="1" x14ac:dyDescent="0.25">
      <c r="A75" s="28">
        <v>60</v>
      </c>
      <c r="B75" s="10" t="s">
        <v>109</v>
      </c>
      <c r="C75" s="48" t="s">
        <v>63</v>
      </c>
      <c r="D75" s="43">
        <f>12864.5*2</f>
        <v>25729</v>
      </c>
      <c r="E75" s="7">
        <f t="shared" si="2"/>
        <v>4502.5749999999998</v>
      </c>
      <c r="F75" s="7">
        <f t="shared" si="0"/>
        <v>771.87</v>
      </c>
      <c r="G75" s="7">
        <f t="shared" si="1"/>
        <v>514.58000000000004</v>
      </c>
      <c r="H75" s="43">
        <f>643*2</f>
        <v>1286</v>
      </c>
      <c r="I75" s="43">
        <f>428.5*2</f>
        <v>857</v>
      </c>
    </row>
    <row r="76" spans="1:9" s="69" customFormat="1" x14ac:dyDescent="0.25">
      <c r="A76" s="52">
        <v>61</v>
      </c>
      <c r="B76" s="53" t="s">
        <v>109</v>
      </c>
      <c r="C76" s="57" t="s">
        <v>26</v>
      </c>
      <c r="D76" s="54">
        <f>7366.5*2</f>
        <v>14733</v>
      </c>
      <c r="E76" s="55">
        <f t="shared" si="2"/>
        <v>2578.2749999999996</v>
      </c>
      <c r="F76" s="55">
        <f t="shared" si="0"/>
        <v>441.99</v>
      </c>
      <c r="G76" s="55">
        <f t="shared" si="1"/>
        <v>294.66000000000003</v>
      </c>
      <c r="H76" s="54">
        <f>546.5*2</f>
        <v>1093</v>
      </c>
      <c r="I76" s="54">
        <f>339.5*2</f>
        <v>679</v>
      </c>
    </row>
    <row r="77" spans="1:9" s="38" customFormat="1" x14ac:dyDescent="0.25">
      <c r="A77" s="28">
        <v>62</v>
      </c>
      <c r="B77" s="10" t="s">
        <v>109</v>
      </c>
      <c r="C77" s="39" t="s">
        <v>20</v>
      </c>
      <c r="D77" s="5">
        <f>7366.5*2</f>
        <v>14733</v>
      </c>
      <c r="E77" s="7">
        <f t="shared" si="2"/>
        <v>2578.2749999999996</v>
      </c>
      <c r="F77" s="7">
        <f t="shared" si="0"/>
        <v>441.99</v>
      </c>
      <c r="G77" s="7">
        <f t="shared" si="1"/>
        <v>294.66000000000003</v>
      </c>
      <c r="H77" s="5">
        <f>546.5*2</f>
        <v>1093</v>
      </c>
      <c r="I77" s="5">
        <f>339.5*2</f>
        <v>679</v>
      </c>
    </row>
    <row r="78" spans="1:9" s="69" customFormat="1" x14ac:dyDescent="0.25">
      <c r="A78" s="52">
        <v>63</v>
      </c>
      <c r="B78" s="53" t="s">
        <v>109</v>
      </c>
      <c r="C78" s="57" t="s">
        <v>82</v>
      </c>
      <c r="D78" s="54">
        <f>7436.5*2</f>
        <v>14873</v>
      </c>
      <c r="E78" s="55">
        <f t="shared" si="2"/>
        <v>2602.7749999999996</v>
      </c>
      <c r="F78" s="55">
        <f t="shared" si="0"/>
        <v>446.19</v>
      </c>
      <c r="G78" s="55">
        <f t="shared" si="1"/>
        <v>297.45999999999998</v>
      </c>
      <c r="H78" s="54">
        <f>546.5*2</f>
        <v>1093</v>
      </c>
      <c r="I78" s="54">
        <f>339.5*2</f>
        <v>679</v>
      </c>
    </row>
    <row r="79" spans="1:9" s="38" customFormat="1" x14ac:dyDescent="0.25">
      <c r="A79" s="28">
        <v>64</v>
      </c>
      <c r="B79" s="10" t="s">
        <v>109</v>
      </c>
      <c r="C79" s="39" t="s">
        <v>26</v>
      </c>
      <c r="D79" s="5">
        <f>7366.5*2</f>
        <v>14733</v>
      </c>
      <c r="E79" s="7">
        <f t="shared" si="2"/>
        <v>2578.2749999999996</v>
      </c>
      <c r="F79" s="7">
        <f t="shared" si="0"/>
        <v>441.99</v>
      </c>
      <c r="G79" s="7">
        <f t="shared" si="1"/>
        <v>294.66000000000003</v>
      </c>
      <c r="H79" s="5">
        <f>546.5*2</f>
        <v>1093</v>
      </c>
      <c r="I79" s="5">
        <f>339.5*2</f>
        <v>679</v>
      </c>
    </row>
    <row r="80" spans="1:9" s="69" customFormat="1" x14ac:dyDescent="0.25">
      <c r="A80" s="52">
        <v>65</v>
      </c>
      <c r="B80" s="53" t="s">
        <v>109</v>
      </c>
      <c r="C80" s="57" t="s">
        <v>17</v>
      </c>
      <c r="D80" s="54">
        <f>11416*2</f>
        <v>22832</v>
      </c>
      <c r="E80" s="55">
        <f t="shared" si="2"/>
        <v>3995.6</v>
      </c>
      <c r="F80" s="55">
        <f t="shared" ref="F80:F101" si="3">D80*0.03</f>
        <v>684.95999999999992</v>
      </c>
      <c r="G80" s="55">
        <f t="shared" ref="G80:G101" si="4">D80*0.02</f>
        <v>456.64</v>
      </c>
      <c r="H80" s="54">
        <f>623.5*2</f>
        <v>1247</v>
      </c>
      <c r="I80" s="54">
        <f>389.5*2</f>
        <v>779</v>
      </c>
    </row>
    <row r="81" spans="1:9" s="38" customFormat="1" x14ac:dyDescent="0.25">
      <c r="A81" s="28">
        <v>66</v>
      </c>
      <c r="B81" s="10" t="s">
        <v>109</v>
      </c>
      <c r="C81" s="39" t="s">
        <v>32</v>
      </c>
      <c r="D81" s="5">
        <f>12864.5*2</f>
        <v>25729</v>
      </c>
      <c r="E81" s="7">
        <f t="shared" ref="E81:E101" si="5">D81*0.175</f>
        <v>4502.5749999999998</v>
      </c>
      <c r="F81" s="7">
        <f t="shared" si="3"/>
        <v>771.87</v>
      </c>
      <c r="G81" s="7">
        <f t="shared" si="4"/>
        <v>514.58000000000004</v>
      </c>
      <c r="H81" s="5">
        <f>643*2</f>
        <v>1286</v>
      </c>
      <c r="I81" s="5">
        <f>428.5*2</f>
        <v>857</v>
      </c>
    </row>
    <row r="82" spans="1:9" s="69" customFormat="1" x14ac:dyDescent="0.25">
      <c r="A82" s="52">
        <v>67</v>
      </c>
      <c r="B82" s="53" t="s">
        <v>109</v>
      </c>
      <c r="C82" s="57" t="s">
        <v>23</v>
      </c>
      <c r="D82" s="54">
        <f>7366.5*2</f>
        <v>14733</v>
      </c>
      <c r="E82" s="55">
        <f t="shared" si="5"/>
        <v>2578.2749999999996</v>
      </c>
      <c r="F82" s="55">
        <f t="shared" si="3"/>
        <v>441.99</v>
      </c>
      <c r="G82" s="55">
        <f t="shared" si="4"/>
        <v>294.66000000000003</v>
      </c>
      <c r="H82" s="54">
        <f>546.5*2</f>
        <v>1093</v>
      </c>
      <c r="I82" s="54">
        <f>339.5*2</f>
        <v>679</v>
      </c>
    </row>
    <row r="83" spans="1:9" s="38" customFormat="1" x14ac:dyDescent="0.25">
      <c r="A83" s="28">
        <v>68</v>
      </c>
      <c r="B83" s="10" t="s">
        <v>109</v>
      </c>
      <c r="C83" s="39" t="s">
        <v>17</v>
      </c>
      <c r="D83" s="5">
        <f>11416*2</f>
        <v>22832</v>
      </c>
      <c r="E83" s="7">
        <f t="shared" si="5"/>
        <v>3995.6</v>
      </c>
      <c r="F83" s="7">
        <f t="shared" si="3"/>
        <v>684.95999999999992</v>
      </c>
      <c r="G83" s="7">
        <f t="shared" si="4"/>
        <v>456.64</v>
      </c>
      <c r="H83" s="5">
        <f>623.5*2</f>
        <v>1247</v>
      </c>
      <c r="I83" s="5">
        <f>389.5*2</f>
        <v>779</v>
      </c>
    </row>
    <row r="84" spans="1:9" s="69" customFormat="1" x14ac:dyDescent="0.25">
      <c r="A84" s="52">
        <v>69</v>
      </c>
      <c r="B84" s="53" t="s">
        <v>109</v>
      </c>
      <c r="C84" s="70" t="s">
        <v>32</v>
      </c>
      <c r="D84" s="54">
        <f>12864.5*2</f>
        <v>25729</v>
      </c>
      <c r="E84" s="55">
        <f t="shared" si="5"/>
        <v>4502.5749999999998</v>
      </c>
      <c r="F84" s="55">
        <f t="shared" si="3"/>
        <v>771.87</v>
      </c>
      <c r="G84" s="55">
        <f t="shared" si="4"/>
        <v>514.58000000000004</v>
      </c>
      <c r="H84" s="54">
        <f>643*2</f>
        <v>1286</v>
      </c>
      <c r="I84" s="71">
        <f>428.5*2</f>
        <v>857</v>
      </c>
    </row>
    <row r="85" spans="1:9" s="38" customFormat="1" x14ac:dyDescent="0.25">
      <c r="A85" s="28">
        <v>70</v>
      </c>
      <c r="B85" s="10" t="s">
        <v>109</v>
      </c>
      <c r="C85" s="39" t="s">
        <v>17</v>
      </c>
      <c r="D85" s="5">
        <f>11416*2</f>
        <v>22832</v>
      </c>
      <c r="E85" s="7">
        <f t="shared" si="5"/>
        <v>3995.6</v>
      </c>
      <c r="F85" s="7">
        <f t="shared" si="3"/>
        <v>684.95999999999992</v>
      </c>
      <c r="G85" s="7">
        <f t="shared" si="4"/>
        <v>456.64</v>
      </c>
      <c r="H85" s="5">
        <f>623.5*2</f>
        <v>1247</v>
      </c>
      <c r="I85" s="5">
        <f>389.5*2</f>
        <v>779</v>
      </c>
    </row>
    <row r="86" spans="1:9" s="69" customFormat="1" x14ac:dyDescent="0.25">
      <c r="A86" s="52">
        <v>71</v>
      </c>
      <c r="B86" s="53" t="s">
        <v>109</v>
      </c>
      <c r="C86" s="57" t="s">
        <v>26</v>
      </c>
      <c r="D86" s="54">
        <f>7366.5*2</f>
        <v>14733</v>
      </c>
      <c r="E86" s="55">
        <f t="shared" si="5"/>
        <v>2578.2749999999996</v>
      </c>
      <c r="F86" s="55">
        <f t="shared" si="3"/>
        <v>441.99</v>
      </c>
      <c r="G86" s="55">
        <f t="shared" si="4"/>
        <v>294.66000000000003</v>
      </c>
      <c r="H86" s="54">
        <f>546.5*2</f>
        <v>1093</v>
      </c>
      <c r="I86" s="54">
        <f>339.5*2</f>
        <v>679</v>
      </c>
    </row>
    <row r="87" spans="1:9" s="38" customFormat="1" x14ac:dyDescent="0.25">
      <c r="A87" s="28">
        <v>72</v>
      </c>
      <c r="B87" s="10" t="s">
        <v>109</v>
      </c>
      <c r="C87" s="39" t="s">
        <v>23</v>
      </c>
      <c r="D87" s="5">
        <f>7366.5*2</f>
        <v>14733</v>
      </c>
      <c r="E87" s="7">
        <f t="shared" si="5"/>
        <v>2578.2749999999996</v>
      </c>
      <c r="F87" s="7">
        <f t="shared" si="3"/>
        <v>441.99</v>
      </c>
      <c r="G87" s="7">
        <f t="shared" si="4"/>
        <v>294.66000000000003</v>
      </c>
      <c r="H87" s="5">
        <f>546.5*2</f>
        <v>1093</v>
      </c>
      <c r="I87" s="5">
        <f>339.5*2</f>
        <v>679</v>
      </c>
    </row>
    <row r="88" spans="1:9" s="69" customFormat="1" x14ac:dyDescent="0.25">
      <c r="A88" s="52">
        <v>73</v>
      </c>
      <c r="B88" s="53" t="s">
        <v>109</v>
      </c>
      <c r="C88" s="57" t="s">
        <v>20</v>
      </c>
      <c r="D88" s="54">
        <f>7366.5*2</f>
        <v>14733</v>
      </c>
      <c r="E88" s="55">
        <f t="shared" si="5"/>
        <v>2578.2749999999996</v>
      </c>
      <c r="F88" s="55">
        <f t="shared" si="3"/>
        <v>441.99</v>
      </c>
      <c r="G88" s="55">
        <f t="shared" si="4"/>
        <v>294.66000000000003</v>
      </c>
      <c r="H88" s="54">
        <f>546.5*2</f>
        <v>1093</v>
      </c>
      <c r="I88" s="54">
        <f>339.5*2</f>
        <v>679</v>
      </c>
    </row>
    <row r="89" spans="1:9" s="38" customFormat="1" x14ac:dyDescent="0.25">
      <c r="A89" s="28">
        <v>74</v>
      </c>
      <c r="B89" s="10" t="s">
        <v>109</v>
      </c>
      <c r="C89" s="39" t="s">
        <v>17</v>
      </c>
      <c r="D89" s="5">
        <f>11416*2</f>
        <v>22832</v>
      </c>
      <c r="E89" s="7">
        <f t="shared" si="5"/>
        <v>3995.6</v>
      </c>
      <c r="F89" s="7">
        <f t="shared" si="3"/>
        <v>684.95999999999992</v>
      </c>
      <c r="G89" s="7">
        <f t="shared" si="4"/>
        <v>456.64</v>
      </c>
      <c r="H89" s="5">
        <f>623.5*2</f>
        <v>1247</v>
      </c>
      <c r="I89" s="5">
        <f>389.5*2</f>
        <v>779</v>
      </c>
    </row>
    <row r="90" spans="1:9" s="69" customFormat="1" x14ac:dyDescent="0.25">
      <c r="A90" s="52">
        <v>75</v>
      </c>
      <c r="B90" s="53" t="s">
        <v>109</v>
      </c>
      <c r="C90" s="59" t="s">
        <v>134</v>
      </c>
      <c r="D90" s="54">
        <f>11416*2</f>
        <v>22832</v>
      </c>
      <c r="E90" s="55">
        <f t="shared" si="5"/>
        <v>3995.6</v>
      </c>
      <c r="F90" s="55">
        <f t="shared" si="3"/>
        <v>684.95999999999992</v>
      </c>
      <c r="G90" s="55">
        <f t="shared" si="4"/>
        <v>456.64</v>
      </c>
      <c r="H90" s="54">
        <f>623.5*2</f>
        <v>1247</v>
      </c>
      <c r="I90" s="56">
        <f>389.5*2</f>
        <v>779</v>
      </c>
    </row>
    <row r="91" spans="1:9" s="38" customFormat="1" x14ac:dyDescent="0.25">
      <c r="A91" s="28">
        <v>76</v>
      </c>
      <c r="B91" s="10" t="s">
        <v>109</v>
      </c>
      <c r="C91" s="39" t="s">
        <v>32</v>
      </c>
      <c r="D91" s="5">
        <f>12864.5*2</f>
        <v>25729</v>
      </c>
      <c r="E91" s="7">
        <f t="shared" si="5"/>
        <v>4502.5749999999998</v>
      </c>
      <c r="F91" s="7">
        <f t="shared" si="3"/>
        <v>771.87</v>
      </c>
      <c r="G91" s="7">
        <f t="shared" si="4"/>
        <v>514.58000000000004</v>
      </c>
      <c r="H91" s="5">
        <f>643*2</f>
        <v>1286</v>
      </c>
      <c r="I91" s="5">
        <f>428.5*2</f>
        <v>857</v>
      </c>
    </row>
    <row r="92" spans="1:9" s="69" customFormat="1" x14ac:dyDescent="0.25">
      <c r="A92" s="52">
        <v>77</v>
      </c>
      <c r="B92" s="53" t="s">
        <v>109</v>
      </c>
      <c r="C92" s="57" t="s">
        <v>23</v>
      </c>
      <c r="D92" s="54">
        <f>7366.5*2</f>
        <v>14733</v>
      </c>
      <c r="E92" s="55">
        <f t="shared" si="5"/>
        <v>2578.2749999999996</v>
      </c>
      <c r="F92" s="55">
        <f t="shared" si="3"/>
        <v>441.99</v>
      </c>
      <c r="G92" s="55">
        <f t="shared" si="4"/>
        <v>294.66000000000003</v>
      </c>
      <c r="H92" s="54">
        <f>546.5*2</f>
        <v>1093</v>
      </c>
      <c r="I92" s="54">
        <f>339.5*2</f>
        <v>679</v>
      </c>
    </row>
    <row r="93" spans="1:9" x14ac:dyDescent="0.25">
      <c r="A93" s="27">
        <v>78</v>
      </c>
      <c r="B93" s="9" t="s">
        <v>143</v>
      </c>
      <c r="C93" s="39" t="s">
        <v>136</v>
      </c>
      <c r="D93" s="5">
        <f t="shared" ref="D93:D94" si="6">7366.5*2</f>
        <v>14733</v>
      </c>
      <c r="E93" s="7">
        <f t="shared" si="5"/>
        <v>2578.2749999999996</v>
      </c>
      <c r="F93" s="8">
        <f t="shared" si="3"/>
        <v>441.99</v>
      </c>
      <c r="G93" s="8">
        <f t="shared" si="4"/>
        <v>294.66000000000003</v>
      </c>
      <c r="H93" s="5">
        <f t="shared" ref="H93:H94" si="7">546.5*2</f>
        <v>1093</v>
      </c>
      <c r="I93" s="5">
        <f t="shared" ref="I93:I94" si="8">339.5*2</f>
        <v>679</v>
      </c>
    </row>
    <row r="94" spans="1:9" s="69" customFormat="1" x14ac:dyDescent="0.25">
      <c r="A94" s="52">
        <v>79</v>
      </c>
      <c r="B94" s="53" t="s">
        <v>143</v>
      </c>
      <c r="C94" s="57" t="s">
        <v>136</v>
      </c>
      <c r="D94" s="54">
        <f t="shared" si="6"/>
        <v>14733</v>
      </c>
      <c r="E94" s="55">
        <f t="shared" si="5"/>
        <v>2578.2749999999996</v>
      </c>
      <c r="F94" s="55">
        <f t="shared" si="3"/>
        <v>441.99</v>
      </c>
      <c r="G94" s="55">
        <f t="shared" si="4"/>
        <v>294.66000000000003</v>
      </c>
      <c r="H94" s="54">
        <f t="shared" si="7"/>
        <v>1093</v>
      </c>
      <c r="I94" s="54">
        <f t="shared" si="8"/>
        <v>679</v>
      </c>
    </row>
    <row r="95" spans="1:9" s="38" customFormat="1" x14ac:dyDescent="0.25">
      <c r="A95" s="28">
        <v>80</v>
      </c>
      <c r="B95" s="10" t="s">
        <v>109</v>
      </c>
      <c r="C95" s="39" t="s">
        <v>32</v>
      </c>
      <c r="D95" s="5">
        <f>12864.5*2</f>
        <v>25729</v>
      </c>
      <c r="E95" s="7">
        <f t="shared" si="5"/>
        <v>4502.5749999999998</v>
      </c>
      <c r="F95" s="7">
        <f t="shared" si="3"/>
        <v>771.87</v>
      </c>
      <c r="G95" s="7">
        <f t="shared" si="4"/>
        <v>514.58000000000004</v>
      </c>
      <c r="H95" s="5">
        <f>643*2</f>
        <v>1286</v>
      </c>
      <c r="I95" s="5">
        <f>428.5*2</f>
        <v>857</v>
      </c>
    </row>
    <row r="96" spans="1:9" s="69" customFormat="1" x14ac:dyDescent="0.25">
      <c r="A96" s="52">
        <v>81</v>
      </c>
      <c r="B96" s="53" t="s">
        <v>109</v>
      </c>
      <c r="C96" s="57" t="s">
        <v>72</v>
      </c>
      <c r="D96" s="54">
        <f>6503*2</f>
        <v>13006</v>
      </c>
      <c r="E96" s="55">
        <f t="shared" si="5"/>
        <v>2276.0499999999997</v>
      </c>
      <c r="F96" s="55">
        <f t="shared" si="3"/>
        <v>390.18</v>
      </c>
      <c r="G96" s="55">
        <f t="shared" si="4"/>
        <v>260.12</v>
      </c>
      <c r="H96" s="54">
        <f>470.5*2</f>
        <v>941</v>
      </c>
      <c r="I96" s="54">
        <f>322.5*2</f>
        <v>645</v>
      </c>
    </row>
    <row r="97" spans="1:9" s="38" customFormat="1" x14ac:dyDescent="0.25">
      <c r="A97" s="28">
        <v>82</v>
      </c>
      <c r="B97" s="10" t="s">
        <v>109</v>
      </c>
      <c r="C97" s="39" t="s">
        <v>45</v>
      </c>
      <c r="D97" s="5">
        <f>21109.5*2</f>
        <v>42219</v>
      </c>
      <c r="E97" s="7">
        <f t="shared" si="5"/>
        <v>7388.3249999999998</v>
      </c>
      <c r="F97" s="7">
        <f t="shared" si="3"/>
        <v>1266.57</v>
      </c>
      <c r="G97" s="7">
        <f t="shared" si="4"/>
        <v>844.38</v>
      </c>
      <c r="H97" s="5">
        <f>932.5*2</f>
        <v>1865</v>
      </c>
      <c r="I97" s="5">
        <f>672.5*2</f>
        <v>1345</v>
      </c>
    </row>
    <row r="98" spans="1:9" s="69" customFormat="1" x14ac:dyDescent="0.25">
      <c r="A98" s="52">
        <v>83</v>
      </c>
      <c r="B98" s="53" t="s">
        <v>109</v>
      </c>
      <c r="C98" s="57" t="s">
        <v>17</v>
      </c>
      <c r="D98" s="54">
        <f>11416*2</f>
        <v>22832</v>
      </c>
      <c r="E98" s="55">
        <f t="shared" si="5"/>
        <v>3995.6</v>
      </c>
      <c r="F98" s="55">
        <f t="shared" si="3"/>
        <v>684.95999999999992</v>
      </c>
      <c r="G98" s="55">
        <f t="shared" si="4"/>
        <v>456.64</v>
      </c>
      <c r="H98" s="54">
        <f>623.5*2</f>
        <v>1247</v>
      </c>
      <c r="I98" s="54">
        <f>389.5*2</f>
        <v>779</v>
      </c>
    </row>
    <row r="99" spans="1:9" s="38" customFormat="1" x14ac:dyDescent="0.25">
      <c r="A99" s="28">
        <v>84</v>
      </c>
      <c r="B99" s="10" t="s">
        <v>109</v>
      </c>
      <c r="C99" s="39" t="s">
        <v>32</v>
      </c>
      <c r="D99" s="5">
        <f>12864.5*2</f>
        <v>25729</v>
      </c>
      <c r="E99" s="7">
        <f t="shared" si="5"/>
        <v>4502.5749999999998</v>
      </c>
      <c r="F99" s="7">
        <f t="shared" si="3"/>
        <v>771.87</v>
      </c>
      <c r="G99" s="7">
        <f t="shared" si="4"/>
        <v>514.58000000000004</v>
      </c>
      <c r="H99" s="5">
        <f>643*2</f>
        <v>1286</v>
      </c>
      <c r="I99" s="5">
        <f>428.5*2</f>
        <v>857</v>
      </c>
    </row>
    <row r="100" spans="1:9" s="69" customFormat="1" x14ac:dyDescent="0.25">
      <c r="A100" s="52">
        <v>85</v>
      </c>
      <c r="B100" s="53" t="s">
        <v>109</v>
      </c>
      <c r="C100" s="64" t="s">
        <v>26</v>
      </c>
      <c r="D100" s="54">
        <f>7366.5*2</f>
        <v>14733</v>
      </c>
      <c r="E100" s="55">
        <f t="shared" si="5"/>
        <v>2578.2749999999996</v>
      </c>
      <c r="F100" s="55">
        <f t="shared" si="3"/>
        <v>441.99</v>
      </c>
      <c r="G100" s="55">
        <f t="shared" si="4"/>
        <v>294.66000000000003</v>
      </c>
      <c r="H100" s="54">
        <f>546.5*2</f>
        <v>1093</v>
      </c>
      <c r="I100" s="54">
        <f>339.5*2</f>
        <v>679</v>
      </c>
    </row>
    <row r="101" spans="1:9" s="38" customFormat="1" ht="15.75" thickBot="1" x14ac:dyDescent="0.3">
      <c r="A101" s="72">
        <v>86</v>
      </c>
      <c r="B101" s="73" t="s">
        <v>109</v>
      </c>
      <c r="C101" s="49" t="s">
        <v>45</v>
      </c>
      <c r="D101" s="5">
        <f>21140*2</f>
        <v>42280</v>
      </c>
      <c r="E101" s="29">
        <f t="shared" si="5"/>
        <v>7398.9999999999991</v>
      </c>
      <c r="F101" s="29">
        <f t="shared" si="3"/>
        <v>1268.3999999999999</v>
      </c>
      <c r="G101" s="29">
        <f t="shared" si="4"/>
        <v>845.6</v>
      </c>
      <c r="H101" s="5">
        <f>932.5*2</f>
        <v>1865</v>
      </c>
      <c r="I101" s="50">
        <f>672.5*2</f>
        <v>1345</v>
      </c>
    </row>
    <row r="102" spans="1:9" ht="15.75" x14ac:dyDescent="0.25">
      <c r="A102" s="11"/>
      <c r="B102" s="11"/>
      <c r="C102" s="12"/>
      <c r="D102" s="13"/>
      <c r="E102" s="14"/>
      <c r="F102" s="13"/>
      <c r="G102" s="13"/>
      <c r="H102" s="13"/>
      <c r="I102" s="13"/>
    </row>
    <row r="103" spans="1:9" x14ac:dyDescent="0.25">
      <c r="A103" s="15"/>
      <c r="B103" s="15"/>
      <c r="C103" s="15"/>
      <c r="D103" s="16"/>
      <c r="E103" s="16"/>
      <c r="F103" s="16"/>
      <c r="G103" s="16"/>
      <c r="H103" s="16"/>
      <c r="I103" s="16"/>
    </row>
    <row r="104" spans="1:9" x14ac:dyDescent="0.25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x14ac:dyDescent="0.25">
      <c r="A105" s="15"/>
      <c r="B105" s="15"/>
      <c r="C105" s="15" t="s">
        <v>110</v>
      </c>
      <c r="D105" s="15">
        <v>66</v>
      </c>
      <c r="E105" s="15"/>
      <c r="F105" s="15" t="s">
        <v>111</v>
      </c>
      <c r="G105" s="15"/>
      <c r="H105" s="15">
        <v>2</v>
      </c>
      <c r="I105" s="15"/>
    </row>
    <row r="106" spans="1:9" x14ac:dyDescent="0.25">
      <c r="A106" s="15"/>
      <c r="B106" s="15"/>
      <c r="C106" s="15" t="s">
        <v>112</v>
      </c>
      <c r="D106" s="15">
        <v>20</v>
      </c>
      <c r="E106" s="15"/>
      <c r="F106" s="15" t="s">
        <v>113</v>
      </c>
      <c r="G106" s="15"/>
      <c r="H106" s="15">
        <v>84</v>
      </c>
      <c r="I106" s="15"/>
    </row>
    <row r="107" spans="1:9" x14ac:dyDescent="0.25">
      <c r="A107" s="15"/>
      <c r="B107" s="15"/>
      <c r="C107" s="15" t="s">
        <v>114</v>
      </c>
      <c r="D107" s="15">
        <f>SUM(D105:D106)</f>
        <v>86</v>
      </c>
      <c r="E107" s="15"/>
      <c r="F107" s="15" t="s">
        <v>62</v>
      </c>
      <c r="G107" s="15"/>
      <c r="H107" s="15">
        <v>0</v>
      </c>
      <c r="I107" s="15"/>
    </row>
    <row r="108" spans="1:9" x14ac:dyDescent="0.25">
      <c r="A108" s="15"/>
      <c r="B108" s="15"/>
      <c r="C108" s="15"/>
      <c r="D108" s="15"/>
      <c r="E108" s="15"/>
      <c r="F108" s="17" t="s">
        <v>114</v>
      </c>
      <c r="G108" s="15"/>
      <c r="H108" s="15">
        <f>SUM(H105:H107)</f>
        <v>86</v>
      </c>
      <c r="I108" s="15"/>
    </row>
    <row r="109" spans="1:9" x14ac:dyDescent="0.25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x14ac:dyDescent="0.25">
      <c r="A110" s="15"/>
      <c r="B110" s="15"/>
      <c r="C110" s="15" t="s">
        <v>115</v>
      </c>
      <c r="D110" s="15" t="s">
        <v>116</v>
      </c>
      <c r="E110" s="15">
        <v>40</v>
      </c>
      <c r="F110" s="15"/>
      <c r="G110" s="15"/>
      <c r="H110" s="15"/>
      <c r="I110" s="15"/>
    </row>
    <row r="111" spans="1:9" x14ac:dyDescent="0.25">
      <c r="A111" s="15"/>
      <c r="B111" s="15"/>
      <c r="C111" s="15" t="s">
        <v>117</v>
      </c>
      <c r="D111" s="15" t="s">
        <v>118</v>
      </c>
      <c r="E111" s="15">
        <v>46</v>
      </c>
      <c r="F111" s="15"/>
      <c r="G111" s="15"/>
      <c r="H111" s="15"/>
      <c r="I111" s="15"/>
    </row>
    <row r="112" spans="1:9" x14ac:dyDescent="0.25">
      <c r="A112" s="15"/>
      <c r="B112" s="15"/>
      <c r="C112" s="15"/>
      <c r="D112" s="15"/>
      <c r="E112" s="15">
        <f>SUM(E110:E111)</f>
        <v>86</v>
      </c>
      <c r="F112" s="15"/>
      <c r="G112" s="15"/>
      <c r="H112" s="15"/>
      <c r="I112" s="15"/>
    </row>
    <row r="113" spans="1:9" x14ac:dyDescent="0.25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x14ac:dyDescent="0.25">
      <c r="A114" s="15"/>
      <c r="B114" s="15"/>
      <c r="C114" s="15" t="s">
        <v>119</v>
      </c>
      <c r="D114" s="15">
        <v>31</v>
      </c>
      <c r="E114" s="15"/>
      <c r="F114" s="15" t="s">
        <v>120</v>
      </c>
      <c r="G114" s="15"/>
      <c r="H114" s="15">
        <v>9</v>
      </c>
      <c r="I114" s="15">
        <f>D114+H114</f>
        <v>40</v>
      </c>
    </row>
    <row r="115" spans="1:9" x14ac:dyDescent="0.25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x14ac:dyDescent="0.25">
      <c r="A116" s="15"/>
      <c r="B116" s="15"/>
      <c r="C116" s="15" t="s">
        <v>121</v>
      </c>
      <c r="D116" s="15">
        <v>35</v>
      </c>
      <c r="E116" s="15"/>
      <c r="F116" s="15" t="s">
        <v>122</v>
      </c>
      <c r="G116" s="15"/>
      <c r="H116" s="15">
        <v>11</v>
      </c>
      <c r="I116" s="15">
        <f>D116+H116</f>
        <v>46</v>
      </c>
    </row>
    <row r="117" spans="1:9" x14ac:dyDescent="0.25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x14ac:dyDescent="0.25">
      <c r="A118" s="15"/>
      <c r="B118" s="15"/>
      <c r="C118" s="15" t="s">
        <v>114</v>
      </c>
      <c r="D118" s="15"/>
      <c r="E118" s="15"/>
      <c r="F118" s="15" t="s">
        <v>114</v>
      </c>
      <c r="G118" s="15" t="s">
        <v>123</v>
      </c>
      <c r="H118" s="15"/>
      <c r="I118" s="15">
        <f>SUM(I114:I117)</f>
        <v>86</v>
      </c>
    </row>
  </sheetData>
  <mergeCells count="9">
    <mergeCell ref="G12:G14"/>
    <mergeCell ref="H12:H14"/>
    <mergeCell ref="I12:I14"/>
    <mergeCell ref="A12:A14"/>
    <mergeCell ref="B12:B14"/>
    <mergeCell ref="C12:C14"/>
    <mergeCell ref="D12:D14"/>
    <mergeCell ref="E12:E14"/>
    <mergeCell ref="F12:F1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VIOLETA DIAZ</cp:lastModifiedBy>
  <cp:lastPrinted>2018-06-14T16:01:55Z</cp:lastPrinted>
  <dcterms:created xsi:type="dcterms:W3CDTF">2018-03-21T18:00:46Z</dcterms:created>
  <dcterms:modified xsi:type="dcterms:W3CDTF">2019-04-11T16:50:45Z</dcterms:modified>
</cp:coreProperties>
</file>